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540" windowWidth="14805" windowHeight="8010" firstSheet="3" activeTab="3"/>
  </bookViews>
  <sheets>
    <sheet name="ch2Text" sheetId="1" state="hidden" r:id="rId1"/>
    <sheet name="Sundry" sheetId="2" state="hidden" r:id="rId2"/>
    <sheet name="Ch3Text" sheetId="3" state="hidden" r:id="rId3"/>
    <sheet name="Table1" sheetId="4" r:id="rId4"/>
    <sheet name="Table1data" sheetId="5" state="hidden" r:id="rId5"/>
    <sheet name="Table2" sheetId="6" r:id="rId6"/>
    <sheet name="Table2data" sheetId="7" state="hidden" r:id="rId7"/>
    <sheet name="Table3" sheetId="8" r:id="rId8"/>
    <sheet name="Table4" sheetId="9" r:id="rId9"/>
    <sheet name="Table4Data" sheetId="10" state="hidden" r:id="rId10"/>
    <sheet name="Table5Data" sheetId="11" state="hidden" r:id="rId11"/>
    <sheet name="Table5" sheetId="12" r:id="rId12"/>
    <sheet name="Table6" sheetId="13" r:id="rId13"/>
    <sheet name="Table7" sheetId="14" r:id="rId14"/>
    <sheet name="Table7data" sheetId="15" state="hidden" r:id="rId15"/>
    <sheet name="Table8" sheetId="16" r:id="rId16"/>
  </sheets>
  <definedNames>
    <definedName name="C_03_J">#REF!</definedName>
    <definedName name="Footnote">#REF!</definedName>
    <definedName name="_xlnm.Print_Area" localSheetId="7">'Table3'!$A$1:$AK$53</definedName>
    <definedName name="_xlnm.Print_Area" localSheetId="12">'Table6'!$A$1:$AM$38</definedName>
    <definedName name="_xlnm.Print_Area" localSheetId="15">'Table8'!$A$1:$V$43</definedName>
    <definedName name="_xlnm.Print_Titles" localSheetId="3">'Table1'!$1:$5</definedName>
    <definedName name="_xlnm.Print_Titles" localSheetId="5">'Table2'!$1:$5</definedName>
    <definedName name="_xlnm.Print_Titles" localSheetId="7">'Table3'!$A:$A,'Table3'!$1:$1</definedName>
    <definedName name="_xlnm.Print_Titles" localSheetId="8">'Table4'!$1:$5</definedName>
    <definedName name="_xlnm.Print_Titles" localSheetId="11">'Table5'!$1:$4</definedName>
    <definedName name="_xlnm.Print_Titles" localSheetId="12">'Table6'!$A:$B,'Table6'!$1:$1</definedName>
    <definedName name="_xlnm.Print_Titles" localSheetId="13">'Table7'!$1:$4</definedName>
    <definedName name="_xlnm.Print_Titles" localSheetId="15">'Table8'!$1:$4</definedName>
    <definedName name="Sundry">'Sundry'!$A$1:$G$2</definedName>
    <definedName name="T1data">#REF!</definedName>
    <definedName name="Table01">#REF!</definedName>
    <definedName name="Table01data">#REF!</definedName>
    <definedName name="Table03">#REF!</definedName>
    <definedName name="Table03data">#REF!</definedName>
    <definedName name="Table04data">#REF!</definedName>
    <definedName name="Table05">#REF!</definedName>
    <definedName name="Table06">#REF!</definedName>
    <definedName name="Table06Data">#REF!</definedName>
    <definedName name="Table07data">#REF!</definedName>
    <definedName name="Table08">#REF!</definedName>
    <definedName name="Table09" localSheetId="13">'Table7'!$A$3:$S$110</definedName>
    <definedName name="Table09">#REF!</definedName>
    <definedName name="Table09data">#REF!</definedName>
    <definedName name="Table10">#REF!</definedName>
    <definedName name="Table1data">'Table1data'!$A$1:$Q$80</definedName>
    <definedName name="Table2">#REF!</definedName>
    <definedName name="Table2data">'Table2data'!$A$1:$O$79</definedName>
    <definedName name="Table3">'Table3'!$A$1:$AK$53</definedName>
    <definedName name="Table4Data">'Table4Data'!$A$1:$H$71</definedName>
    <definedName name="Table5Data">'Table5Data'!$A$1:$G$71</definedName>
    <definedName name="Table6">'Table6'!$A$1:$AL$38</definedName>
    <definedName name="Table7data">'Table7data'!$A$1:$F$65</definedName>
    <definedName name="Table8">'Table8'!$A$1:$V$43</definedName>
  </definedNames>
  <calcPr fullCalcOnLoad="1"/>
</workbook>
</file>

<file path=xl/sharedStrings.xml><?xml version="1.0" encoding="utf-8"?>
<sst xmlns="http://schemas.openxmlformats.org/spreadsheetml/2006/main" count="2236" uniqueCount="558">
  <si>
    <t>permanent limited entry permits issued</t>
  </si>
  <si>
    <t>transferable permits issued</t>
  </si>
  <si>
    <t>nontransferable permits issued</t>
  </si>
  <si>
    <t>permits remaining at year end</t>
  </si>
  <si>
    <t>transferable remaining at year end</t>
  </si>
  <si>
    <t>nontransferable remaining at year end</t>
  </si>
  <si>
    <t>net reduction in transferable permits</t>
  </si>
  <si>
    <t>cancellation of transferable permits</t>
  </si>
  <si>
    <t>conversion of transferable permits</t>
  </si>
  <si>
    <t>net reduction of nontransferable permits</t>
  </si>
  <si>
    <t>cancellation of perm permits</t>
  </si>
  <si>
    <t>conversion of nontransferable permits</t>
  </si>
  <si>
    <t>total permanent permit transfers</t>
  </si>
  <si>
    <t>original permit holders transferred</t>
  </si>
  <si>
    <t>see chapter 2</t>
  </si>
  <si>
    <t>&lt;= enter this from chapter 2 for below calculation</t>
  </si>
  <si>
    <t>this is after populating value in E14</t>
  </si>
  <si>
    <t>MinYear</t>
  </si>
  <si>
    <t>MaxYear</t>
  </si>
  <si>
    <t>Foreclosed</t>
  </si>
  <si>
    <t>ForclosedXfer</t>
  </si>
  <si>
    <t>Xferable</t>
  </si>
  <si>
    <t>CancelNonXferable</t>
  </si>
  <si>
    <t>CancelXferable</t>
  </si>
  <si>
    <t>Classification of Permits</t>
  </si>
  <si>
    <t>over all permit types, permits issued through year end</t>
  </si>
  <si>
    <t>percent of transferable permits issued</t>
  </si>
  <si>
    <t>non transferable permits issued</t>
  </si>
  <si>
    <t>percent of nontransferable permits</t>
  </si>
  <si>
    <t>SE shrimp pot total</t>
  </si>
  <si>
    <t>initial SE shrimp pot transferable</t>
  </si>
  <si>
    <t>% initial SE shrimp pot transferable</t>
  </si>
  <si>
    <t>initial SE shrimp pot nontransferable</t>
  </si>
  <si>
    <t>% initial SE shrimp pot nontransferable</t>
  </si>
  <si>
    <t>net decrease of initial salmon seine permits</t>
  </si>
  <si>
    <t>forfieted in 2008 (this number shouldn't change)</t>
  </si>
  <si>
    <t>Geographic Distribution of Initial Issuees</t>
  </si>
  <si>
    <t>AK residents initial allocation %</t>
  </si>
  <si>
    <t>AK residents initial allocation count</t>
  </si>
  <si>
    <t>nonresident initial allocation %</t>
  </si>
  <si>
    <t>nonresident initial allocation count</t>
  </si>
  <si>
    <t>of the α permits issued…</t>
  </si>
  <si>
    <t>ARL permit count</t>
  </si>
  <si>
    <t>ARL permit percent</t>
  </si>
  <si>
    <t>AUL permit count</t>
  </si>
  <si>
    <t>AUL permit percent</t>
  </si>
  <si>
    <t>nonlocal count</t>
  </si>
  <si>
    <t>nonlocal percent</t>
  </si>
  <si>
    <t>ARL in original salmon percent</t>
  </si>
  <si>
    <t>ARL in original salmon count</t>
  </si>
  <si>
    <t>original salmon count, total permits</t>
  </si>
  <si>
    <t>ARL percent of AYK</t>
  </si>
  <si>
    <t>ARL count of AYK</t>
  </si>
  <si>
    <t>total AYK permits</t>
  </si>
  <si>
    <t>Geographic Distribution of Permit Holders at Year-end 201X</t>
  </si>
  <si>
    <t>AK residents holding permits at year end percent</t>
  </si>
  <si>
    <t>AK residents holding permits at year end count</t>
  </si>
  <si>
    <t>nonresidents holding permits at year end percent</t>
  </si>
  <si>
    <t>nonresidents holding permits at year end count</t>
  </si>
  <si>
    <t>foreclosed by DCCED/CFAB and yet to be transferred</t>
  </si>
  <si>
    <t>decrease in ARL percent</t>
  </si>
  <si>
    <t>decrease in ARL count</t>
  </si>
  <si>
    <t>ARL Alaskan resident permits</t>
  </si>
  <si>
    <t>ARL permits</t>
  </si>
  <si>
    <t>Alaska permits</t>
  </si>
  <si>
    <t>ARL of all permit types</t>
  </si>
  <si>
    <t>yearend held by ARL count</t>
  </si>
  <si>
    <t>total Alaska resident permits</t>
  </si>
  <si>
    <t>decrease in AUL percent</t>
  </si>
  <si>
    <t>decrease in AUL count</t>
  </si>
  <si>
    <t>increase AUN percent</t>
  </si>
  <si>
    <t>increase AUN count</t>
  </si>
  <si>
    <t>increase ARN percent</t>
  </si>
  <si>
    <t>increase ARN count</t>
  </si>
  <si>
    <t>increase nonres percent</t>
  </si>
  <si>
    <t>increase nonres count</t>
  </si>
  <si>
    <t>Geographic Changes in the Distribution of Permits Due to Transfer</t>
  </si>
  <si>
    <t>transfers organized by cross-cohort and intra-cohort</t>
  </si>
  <si>
    <t>high (calculate on own)</t>
  </si>
  <si>
    <t>low (calculate on own)</t>
  </si>
  <si>
    <t>intra--cohort - calculate on own</t>
  </si>
  <si>
    <t>cohort with the majority of transfers</t>
  </si>
  <si>
    <t>Table 3-5 stats</t>
  </si>
  <si>
    <t>bullet number 1</t>
  </si>
  <si>
    <t>permits held by ARL decrease</t>
  </si>
  <si>
    <t>permits held by ARL constant</t>
  </si>
  <si>
    <t>permits held by ARL increase</t>
  </si>
  <si>
    <t>statewide ARL shift</t>
  </si>
  <si>
    <t>percent of initial ARL</t>
  </si>
  <si>
    <t>initial ARL transferable count</t>
  </si>
  <si>
    <t>Bristol Bay Salmon Drift &amp; Setnet decrease count</t>
  </si>
  <si>
    <t>Bristol Bay Salmon Drift &amp; Setnet decrease percent</t>
  </si>
  <si>
    <t>Bristol Bay Salmon Drift &amp; Setnet initial issuance</t>
  </si>
  <si>
    <t>bullet number 2</t>
  </si>
  <si>
    <t>permits held by ARN decrease</t>
  </si>
  <si>
    <t>permits held by ARN constant</t>
  </si>
  <si>
    <t>permits held by ARN increase</t>
  </si>
  <si>
    <t>statewide ARN shift</t>
  </si>
  <si>
    <t>percent of initial transferable ARN</t>
  </si>
  <si>
    <t>if two permit types have the same value, only the first will appear (and it will do so twice)</t>
  </si>
  <si>
    <t>bullet number 3</t>
  </si>
  <si>
    <t>permits held by AUL decrease</t>
  </si>
  <si>
    <t>permits held by AUL constant</t>
  </si>
  <si>
    <t>permits held by AUL increase</t>
  </si>
  <si>
    <t>statewide AUL shift</t>
  </si>
  <si>
    <t>percent of initial transferable AUL</t>
  </si>
  <si>
    <t>bullet number 4</t>
  </si>
  <si>
    <t>permits held by AUN decrease</t>
  </si>
  <si>
    <t>permits held by AUN constant</t>
  </si>
  <si>
    <t>permits held by AUN increase</t>
  </si>
  <si>
    <t>statewide AUN shift</t>
  </si>
  <si>
    <t>percent of initial transferable AUN</t>
  </si>
  <si>
    <t>bullet number 5</t>
  </si>
  <si>
    <t>permits held by Nonresident decrease</t>
  </si>
  <si>
    <t>permits held by Nonresident constant</t>
  </si>
  <si>
    <t>permits held by Nonresident increase</t>
  </si>
  <si>
    <t>statewide Nonresident shift</t>
  </si>
  <si>
    <t>percent of initial transferable Nonresident</t>
  </si>
  <si>
    <t>Geographic Changes in the Distribution of Permits Due to Migration</t>
  </si>
  <si>
    <t>number of city and/or residence indicator changes that resulted in a resident type reclassification</t>
  </si>
  <si>
    <t>table 3-7 stats</t>
  </si>
  <si>
    <t>permits held by ARL</t>
  </si>
  <si>
    <t>ARL increase</t>
  </si>
  <si>
    <t>ARL decrease</t>
  </si>
  <si>
    <t>ARL constant</t>
  </si>
  <si>
    <t>permits held by ARN</t>
  </si>
  <si>
    <t>ARN increase</t>
  </si>
  <si>
    <t>ARN decrease</t>
  </si>
  <si>
    <t>ARN constant</t>
  </si>
  <si>
    <t>permits held by AUL</t>
  </si>
  <si>
    <t>AUL increase</t>
  </si>
  <si>
    <t>AUL decrease</t>
  </si>
  <si>
    <t>AUL constant</t>
  </si>
  <si>
    <t>permits held by AUN</t>
  </si>
  <si>
    <t>AUN increase</t>
  </si>
  <si>
    <t>AUN decrease</t>
  </si>
  <si>
    <t>AUN constant</t>
  </si>
  <si>
    <t>permits held by Nonresident</t>
  </si>
  <si>
    <t>Nonresident increase</t>
  </si>
  <si>
    <t>Nonresident decrease</t>
  </si>
  <si>
    <t>Nonresident constant</t>
  </si>
  <si>
    <t>table 3-8 stats</t>
  </si>
  <si>
    <t>ARL issued permits</t>
  </si>
  <si>
    <t>percent of all permits initial</t>
  </si>
  <si>
    <t>ARL yearend</t>
  </si>
  <si>
    <t>ARL percent of all permits yearend</t>
  </si>
  <si>
    <t>change in permits</t>
  </si>
  <si>
    <t>percent change in permits</t>
  </si>
  <si>
    <t>ARL transfer activity</t>
  </si>
  <si>
    <t>percent change due to transfer activity</t>
  </si>
  <si>
    <t>migration for ARL</t>
  </si>
  <si>
    <t>percent of change due to migration</t>
  </si>
  <si>
    <t>ARL cancellation</t>
  </si>
  <si>
    <t>percent of change due to cancellation</t>
  </si>
  <si>
    <t>ARN issued permits</t>
  </si>
  <si>
    <t>ARN yearend</t>
  </si>
  <si>
    <t>percent of all permits yearend</t>
  </si>
  <si>
    <t>ARN transfer activity</t>
  </si>
  <si>
    <t>migration for ARN</t>
  </si>
  <si>
    <t>ARN cancellation</t>
  </si>
  <si>
    <t>AUL issued permits</t>
  </si>
  <si>
    <t>AUL yearend</t>
  </si>
  <si>
    <t>AUL transfer activity</t>
  </si>
  <si>
    <t>migration for AUL</t>
  </si>
  <si>
    <t>AUL cancellation</t>
  </si>
  <si>
    <t>AUN issued permits</t>
  </si>
  <si>
    <t>AUN yearend</t>
  </si>
  <si>
    <t>AUN transfer activity</t>
  </si>
  <si>
    <t>migration for AUN</t>
  </si>
  <si>
    <t>AUN cancellation</t>
  </si>
  <si>
    <t>Nonresident issued permits</t>
  </si>
  <si>
    <t>Nonresident yearend</t>
  </si>
  <si>
    <t>Nonresident transfer activity</t>
  </si>
  <si>
    <t>migration for Nonresident</t>
  </si>
  <si>
    <t>Nonresident cancellation</t>
  </si>
  <si>
    <t>Permits First Issued in:</t>
  </si>
  <si>
    <t>All Permits Issued to</t>
  </si>
  <si>
    <t>All Transferable Permits Issued to</t>
  </si>
  <si>
    <t>All Permits</t>
  </si>
  <si>
    <t>Alaska Rural Local</t>
  </si>
  <si>
    <t>Alaska Rural Nonlocal</t>
  </si>
  <si>
    <t>Alaska Urban Local</t>
  </si>
  <si>
    <t>Alaska Urban Nonlocal</t>
  </si>
  <si>
    <t>Non-
resident</t>
  </si>
  <si>
    <t>Alaska Total</t>
  </si>
  <si>
    <t>Grand Total</t>
  </si>
  <si>
    <t>SE Salmon Seine</t>
  </si>
  <si>
    <t>S01A</t>
  </si>
  <si>
    <t>SE Salmon Drift Gillnet</t>
  </si>
  <si>
    <t>S03A</t>
  </si>
  <si>
    <t>Salmon Power Troll</t>
  </si>
  <si>
    <t>S15B</t>
  </si>
  <si>
    <t>Yakutat Salmon Setnet</t>
  </si>
  <si>
    <t>S04D</t>
  </si>
  <si>
    <t>PWS Salmon Seine</t>
  </si>
  <si>
    <t>S01E</t>
  </si>
  <si>
    <t>PWS Salmon Drift Gillnet</t>
  </si>
  <si>
    <t>S03E</t>
  </si>
  <si>
    <t>PWS Salmon Setnet</t>
  </si>
  <si>
    <t>S04E</t>
  </si>
  <si>
    <t>Cook Inlet Salmon Seine</t>
  </si>
  <si>
    <t>S01H</t>
  </si>
  <si>
    <t>Cook Inlet Salmon Drift</t>
  </si>
  <si>
    <t>S03H</t>
  </si>
  <si>
    <t>Cook Inlet Salmon Setnet</t>
  </si>
  <si>
    <t>S04H</t>
  </si>
  <si>
    <t>Kodiak Salmon Seine</t>
  </si>
  <si>
    <t>S01K</t>
  </si>
  <si>
    <t>Kodiak Salmon Beach Seine</t>
  </si>
  <si>
    <t>S02K</t>
  </si>
  <si>
    <t>Kodiak Salmon Setnet</t>
  </si>
  <si>
    <t>S04K</t>
  </si>
  <si>
    <t>Chignik Salmon Seine</t>
  </si>
  <si>
    <t>S01L</t>
  </si>
  <si>
    <t>Pen/Aleutian Salmon Seine</t>
  </si>
  <si>
    <t>S01M</t>
  </si>
  <si>
    <t>Pen/Aleutian Salmon Drift</t>
  </si>
  <si>
    <t>S03M</t>
  </si>
  <si>
    <t>Pen/Aleutian Salmon Setnet</t>
  </si>
  <si>
    <t>S04M</t>
  </si>
  <si>
    <t>Bristol Bay Salmon Drift</t>
  </si>
  <si>
    <t>S03T</t>
  </si>
  <si>
    <t>Bristol Bay Salmon Setnet</t>
  </si>
  <si>
    <t>S04T</t>
  </si>
  <si>
    <t>Upper Yukon Salmon Gillnet</t>
  </si>
  <si>
    <t>S04P</t>
  </si>
  <si>
    <t>U Yukon Salmon Fish Wheel</t>
  </si>
  <si>
    <t>S08P</t>
  </si>
  <si>
    <t>Kuskokwim Salmon Gillnet</t>
  </si>
  <si>
    <t>S04W</t>
  </si>
  <si>
    <t>Kotzebue Salmon Gillnet</t>
  </si>
  <si>
    <t>S04X</t>
  </si>
  <si>
    <t>Lower Yukon Salmon Gillnet</t>
  </si>
  <si>
    <t>S04Y</t>
  </si>
  <si>
    <t>Norton Sound Salmon Gillnet</t>
  </si>
  <si>
    <t>S04Z</t>
  </si>
  <si>
    <t xml:space="preserve">1977-78   </t>
  </si>
  <si>
    <t>SE Roe Herring Seine</t>
  </si>
  <si>
    <t>G01A</t>
  </si>
  <si>
    <t>SE Herring Gillnet</t>
  </si>
  <si>
    <t>G34A</t>
  </si>
  <si>
    <t>PWS Roe Herring Seine</t>
  </si>
  <si>
    <t>G01E</t>
  </si>
  <si>
    <t>Cook Inlet Herring Seine</t>
  </si>
  <si>
    <t>G01H</t>
  </si>
  <si>
    <t xml:space="preserve">1980-87   </t>
  </si>
  <si>
    <t>Salmon Hand Troll</t>
  </si>
  <si>
    <t>S05B</t>
  </si>
  <si>
    <t>NSEI Sablefish Longline</t>
  </si>
  <si>
    <t>C61A</t>
  </si>
  <si>
    <t>SSEI Sablefish Longline</t>
  </si>
  <si>
    <t>C61C</t>
  </si>
  <si>
    <t>SSEI Sablefish Pots</t>
  </si>
  <si>
    <t>C91C</t>
  </si>
  <si>
    <t>SE Red,Blue King Crab Pot</t>
  </si>
  <si>
    <t>K19A</t>
  </si>
  <si>
    <t>SE Red,Blue,Brn Kng Crb Pot</t>
  </si>
  <si>
    <t>K29A</t>
  </si>
  <si>
    <t>SE Brown King Crab Pot</t>
  </si>
  <si>
    <t>K39A</t>
  </si>
  <si>
    <t>SE Red,Blue King/Tanner Pot</t>
  </si>
  <si>
    <t>K49A</t>
  </si>
  <si>
    <t>SE Brown King/Tanner Pot</t>
  </si>
  <si>
    <t>K59A</t>
  </si>
  <si>
    <t>SE All King/Tanner Pot</t>
  </si>
  <si>
    <t>K69A</t>
  </si>
  <si>
    <t>SE Tanner Crab Pot</t>
  </si>
  <si>
    <t>T19A</t>
  </si>
  <si>
    <t>PWS Roe Herring Gillnet</t>
  </si>
  <si>
    <t>G34E</t>
  </si>
  <si>
    <t>PWS Her Spawn on Kelp Pound</t>
  </si>
  <si>
    <t>L21E</t>
  </si>
  <si>
    <t>Kodiak Roe Herring Seine</t>
  </si>
  <si>
    <t>G01K</t>
  </si>
  <si>
    <t>Kodiak Roe Herring Gillnet</t>
  </si>
  <si>
    <t>G34K</t>
  </si>
  <si>
    <t>Kodiak Roe Her Seine/Gill</t>
  </si>
  <si>
    <t>G31K</t>
  </si>
  <si>
    <t xml:space="preserve">1988-91   </t>
  </si>
  <si>
    <t>BBay Herring Spawn on Kelp</t>
  </si>
  <si>
    <t>L12T</t>
  </si>
  <si>
    <t>Norton Sd Her Beach Seine</t>
  </si>
  <si>
    <t>G02Z</t>
  </si>
  <si>
    <t>Nelson Island Her Gillnet</t>
  </si>
  <si>
    <t>G34N</t>
  </si>
  <si>
    <t>Nunivak Island Her Gillnet</t>
  </si>
  <si>
    <t>G34U</t>
  </si>
  <si>
    <t>Lower Yukon Herring Gillnet</t>
  </si>
  <si>
    <t>G34Y</t>
  </si>
  <si>
    <t>Norton Sd Herring Gillnet</t>
  </si>
  <si>
    <t>G34Z</t>
  </si>
  <si>
    <t>SE Dungeness Ring Net</t>
  </si>
  <si>
    <t>D10A</t>
  </si>
  <si>
    <t>SE Dungeness Dive</t>
  </si>
  <si>
    <t>D11A</t>
  </si>
  <si>
    <t>SE Dungeness 300 Pot</t>
  </si>
  <si>
    <t>D9AA</t>
  </si>
  <si>
    <t>SE Dungeness 225 Pot</t>
  </si>
  <si>
    <t>D9BA</t>
  </si>
  <si>
    <t>SE Dungeness 150 Pot</t>
  </si>
  <si>
    <t>D9CA</t>
  </si>
  <si>
    <t>SE Dungeness 75 Pot</t>
  </si>
  <si>
    <t>D9DA</t>
  </si>
  <si>
    <t>Cook Inlet Dunge Ring Net</t>
  </si>
  <si>
    <t>D10H</t>
  </si>
  <si>
    <t>Cook Inlet Dungeness Pot</t>
  </si>
  <si>
    <t>D91H</t>
  </si>
  <si>
    <t>NSE Her Spawn on Kelp Pound</t>
  </si>
  <si>
    <t>L21A</t>
  </si>
  <si>
    <t>SSE Her Spawn on Kelp Pound</t>
  </si>
  <si>
    <t>L21C</t>
  </si>
  <si>
    <t>SE Shrimp Otter Trawl</t>
  </si>
  <si>
    <t>P07A</t>
  </si>
  <si>
    <t>SE Shrimp Beam Trawl</t>
  </si>
  <si>
    <t>P17A</t>
  </si>
  <si>
    <t>SE Shrimp Pot</t>
  </si>
  <si>
    <t>P91A</t>
  </si>
  <si>
    <t>PWS Sablefish Net Gear</t>
  </si>
  <si>
    <t>C4CE</t>
  </si>
  <si>
    <t>PWS Sablefish Fixed 90ft</t>
  </si>
  <si>
    <t>C5AE</t>
  </si>
  <si>
    <t>PWS Sablefish Fixed 60ft</t>
  </si>
  <si>
    <t>C5BE</t>
  </si>
  <si>
    <t>PWS Sablefish Fixed 50ft</t>
  </si>
  <si>
    <t>C5CE</t>
  </si>
  <si>
    <t>PWS Sablefish Fixed 35ft</t>
  </si>
  <si>
    <t>C5DE</t>
  </si>
  <si>
    <t xml:space="preserve">1999-2002 </t>
  </si>
  <si>
    <t>SE Urchin Dive</t>
  </si>
  <si>
    <t>U11A</t>
  </si>
  <si>
    <t>SE Geoduck Dive</t>
  </si>
  <si>
    <t>J11A</t>
  </si>
  <si>
    <t>SE Cucumber Dive</t>
  </si>
  <si>
    <t>Q11A</t>
  </si>
  <si>
    <t>Goodnews Bay Her Gillnet</t>
  </si>
  <si>
    <t>G34W</t>
  </si>
  <si>
    <t>Kodiak Fd/Bt Her Seine/Gill</t>
  </si>
  <si>
    <t>H1DK</t>
  </si>
  <si>
    <t>Kodiak Fd/Bt Her Trawl 75ft</t>
  </si>
  <si>
    <t>H7BK</t>
  </si>
  <si>
    <t>Kodiak Fd/Bt Her Trawl 70ft</t>
  </si>
  <si>
    <t>H7CK</t>
  </si>
  <si>
    <t>Kodiak Fd/Bt Her Trawl 60ft</t>
  </si>
  <si>
    <t>H7DK</t>
  </si>
  <si>
    <t>Kodiak Tnr Bairdi Pot 120ft</t>
  </si>
  <si>
    <t>T9AK</t>
  </si>
  <si>
    <t>Kodiak Tnr Bairdi Pot 60ft</t>
  </si>
  <si>
    <t>T9BK</t>
  </si>
  <si>
    <t>Overall Total</t>
  </si>
  <si>
    <t xml:space="preserve"> * Total permit years are the total number of permits at the end of each year, summed over the entire period.</t>
  </si>
  <si>
    <t>Gear</t>
  </si>
  <si>
    <t>FSHY</t>
  </si>
  <si>
    <t>forigin</t>
  </si>
  <si>
    <t>IS_ARL</t>
  </si>
  <si>
    <t>IS_ARN</t>
  </si>
  <si>
    <t>IS_AUL</t>
  </si>
  <si>
    <t>IS_AUN</t>
  </si>
  <si>
    <t>IS_N</t>
  </si>
  <si>
    <t>IT_ARL</t>
  </si>
  <si>
    <t>IT_ARN</t>
  </si>
  <si>
    <t>IT_AUL</t>
  </si>
  <si>
    <t>IT_AUN</t>
  </si>
  <si>
    <t>IT_N</t>
  </si>
  <si>
    <t>ALASKA</t>
  </si>
  <si>
    <t>TOTAL</t>
  </si>
  <si>
    <t>TargetFish</t>
  </si>
  <si>
    <t>Location</t>
  </si>
  <si>
    <t>Net Gear Maximum Vessel Length 50'</t>
  </si>
  <si>
    <t>1998</t>
  </si>
  <si>
    <t>Sablefish</t>
  </si>
  <si>
    <t>Prince William Sound</t>
  </si>
  <si>
    <t>Fixed Gear Maximum Vessel Length 90'</t>
  </si>
  <si>
    <t>Fixed Gear Maximum Vessel Length 60'</t>
  </si>
  <si>
    <t>Fixed Gear Maximum Vessel Length 50'</t>
  </si>
  <si>
    <t>Fixed Gear Maximum Vessel Length 35'</t>
  </si>
  <si>
    <t>Longline</t>
  </si>
  <si>
    <t>1980-87</t>
  </si>
  <si>
    <t>Northern Southeast</t>
  </si>
  <si>
    <t>Southern Southeast</t>
  </si>
  <si>
    <t>Pot Gear</t>
  </si>
  <si>
    <t>Ring Net</t>
  </si>
  <si>
    <t>1997</t>
  </si>
  <si>
    <t>Dungeness Crab</t>
  </si>
  <si>
    <t>Southeast</t>
  </si>
  <si>
    <t>Cook Inlet</t>
  </si>
  <si>
    <t>Diving Gear</t>
  </si>
  <si>
    <t>300 Pots/Or 100% Of Max</t>
  </si>
  <si>
    <t>225 Pots/Or 75% Of Max</t>
  </si>
  <si>
    <t>150 Pots/Or 50% Of Max</t>
  </si>
  <si>
    <t>75 Pots/Or 25% Of Max</t>
  </si>
  <si>
    <t>Purse Seine</t>
  </si>
  <si>
    <t>1977-78</t>
  </si>
  <si>
    <t>Herring Roe</t>
  </si>
  <si>
    <t>Herring Roe &amp; Food/Bait</t>
  </si>
  <si>
    <t>Kodiak</t>
  </si>
  <si>
    <t>Beach Seine</t>
  </si>
  <si>
    <t>1988-91</t>
  </si>
  <si>
    <t>Norton Sound</t>
  </si>
  <si>
    <t>Gillnet &amp; Purse Seine</t>
  </si>
  <si>
    <t>Gillnet</t>
  </si>
  <si>
    <t>Nelson Island</t>
  </si>
  <si>
    <t>Nunivak Island</t>
  </si>
  <si>
    <t>1992-2002</t>
  </si>
  <si>
    <t>Goodnews Bay</t>
  </si>
  <si>
    <t>Cape Romanzof</t>
  </si>
  <si>
    <t>Purse Seine, Fixed Vessel Length To 60'</t>
  </si>
  <si>
    <t>Herring Food/Bait</t>
  </si>
  <si>
    <t>Otter Trawl, Fixed Vessel Length To 75'</t>
  </si>
  <si>
    <t>Otter Trawl, Fixed Vessel Length To 70'</t>
  </si>
  <si>
    <t>Otter Trawl, Fixed Vessel Length To 60'</t>
  </si>
  <si>
    <t>Geoduck Clams</t>
  </si>
  <si>
    <t>Red/Blue King Crab</t>
  </si>
  <si>
    <t>Red/Blue/Brown King Crab</t>
  </si>
  <si>
    <t>Brown King Crab</t>
  </si>
  <si>
    <t>Red/Blue King/Tanner Crab</t>
  </si>
  <si>
    <t>Brown King/Tanner Crab</t>
  </si>
  <si>
    <t>Red/Blue/Brown King/Tanner Crab</t>
  </si>
  <si>
    <t>Hand Pick</t>
  </si>
  <si>
    <t>Herring Spawn On Kelp</t>
  </si>
  <si>
    <t>Bristol Bay</t>
  </si>
  <si>
    <t>Pound</t>
  </si>
  <si>
    <t>Otter Trawl</t>
  </si>
  <si>
    <t>Shrimp</t>
  </si>
  <si>
    <t>Beam Trawl</t>
  </si>
  <si>
    <t>Sea Cucumber</t>
  </si>
  <si>
    <t>1975</t>
  </si>
  <si>
    <t>Salmon</t>
  </si>
  <si>
    <t>Chignik</t>
  </si>
  <si>
    <t>Alaska Peninsula</t>
  </si>
  <si>
    <t>Drift Gillnet</t>
  </si>
  <si>
    <t>Set Gillnet</t>
  </si>
  <si>
    <t>Yakutat</t>
  </si>
  <si>
    <t>1976</t>
  </si>
  <si>
    <t>Upper Yukon</t>
  </si>
  <si>
    <t>Kuskokwim</t>
  </si>
  <si>
    <t>Kotzebue</t>
  </si>
  <si>
    <t>Lower Yukon</t>
  </si>
  <si>
    <t>Hand Troll</t>
  </si>
  <si>
    <t>Statewide</t>
  </si>
  <si>
    <t>Fish Wheel</t>
  </si>
  <si>
    <t>Power Troll</t>
  </si>
  <si>
    <t>Tanner Crab</t>
  </si>
  <si>
    <t>Pot Gear Vessel To 120'</t>
  </si>
  <si>
    <t>2004</t>
  </si>
  <si>
    <t>Tanner Bairdi Crab</t>
  </si>
  <si>
    <t>Pot Gear Vessel Under 60'</t>
  </si>
  <si>
    <t>Sea Urchin</t>
  </si>
  <si>
    <t>All Permits Held By</t>
  </si>
  <si>
    <t>All Transferable Permits Held By **</t>
  </si>
  <si>
    <t>DCCED
/CFAB</t>
  </si>
  <si>
    <t>fPermitDescription</t>
  </si>
  <si>
    <t>ARL</t>
  </si>
  <si>
    <t>ARN</t>
  </si>
  <si>
    <t>AUL</t>
  </si>
  <si>
    <t>AUN</t>
  </si>
  <si>
    <t>N</t>
  </si>
  <si>
    <t>DOC</t>
  </si>
  <si>
    <t>TARL</t>
  </si>
  <si>
    <t>TARN</t>
  </si>
  <si>
    <t>TAUL</t>
  </si>
  <si>
    <t>TAUN</t>
  </si>
  <si>
    <t>TN</t>
  </si>
  <si>
    <t xml:space="preserve"> 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</si>
  <si>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</si>
  <si>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</si>
  <si>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</si>
  <si>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</si>
  <si>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</si>
  <si>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</si>
  <si>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</si>
  <si>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</si>
  <si>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</si>
  <si>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</si>
  <si>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</si>
  <si>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</si>
  <si>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</si>
  <si>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</si>
  <si>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</si>
  <si>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</si>
  <si>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</si>
  <si>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</si>
  <si>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</si>
  <si>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</si>
  <si>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1999</t>
  </si>
  <si>
    <t>2000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</si>
  <si>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</si>
  <si>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</si>
  <si>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</si>
  <si>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</si>
  <si>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</si>
  <si>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</si>
  <si>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</si>
  <si>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</si>
  <si>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</si>
  <si>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Cross-Cohort</t>
  </si>
  <si>
    <t>Rural Local to:</t>
  </si>
  <si>
    <t>Rural Non-local</t>
  </si>
  <si>
    <t>Urban Local</t>
  </si>
  <si>
    <t>Urban Non-local</t>
  </si>
  <si>
    <t>Nonresident</t>
  </si>
  <si>
    <t>DCCED/CFAB</t>
  </si>
  <si>
    <t>Rural Non-local to:</t>
  </si>
  <si>
    <t>Rural Local</t>
  </si>
  <si>
    <t>Urban Local to:</t>
  </si>
  <si>
    <t>Urban Non-local to:</t>
  </si>
  <si>
    <t>Nonresident to:</t>
  </si>
  <si>
    <t>DCCED/CFAB to:</t>
  </si>
  <si>
    <t>Intra-Cohort</t>
  </si>
  <si>
    <t>Transfers Between:</t>
  </si>
  <si>
    <t>GRAND TOTALS</t>
  </si>
  <si>
    <t>Intra Cohort</t>
  </si>
  <si>
    <t>Cross Cohort</t>
  </si>
  <si>
    <t>Total</t>
  </si>
  <si>
    <t>Count</t>
  </si>
  <si>
    <t>Percent</t>
  </si>
  <si>
    <t>Transfers</t>
  </si>
  <si>
    <t>Statewide Totals</t>
  </si>
  <si>
    <t>PermitDescription</t>
  </si>
  <si>
    <t>INTRA</t>
  </si>
  <si>
    <t>INTRAPER</t>
  </si>
  <si>
    <t>CROSS</t>
  </si>
  <si>
    <t>CROSSPER</t>
  </si>
  <si>
    <t>COUNT</t>
  </si>
  <si>
    <t>Origin</t>
  </si>
  <si>
    <t>NETARL</t>
  </si>
  <si>
    <t>NETARN</t>
  </si>
  <si>
    <t>NETAUL</t>
  </si>
  <si>
    <t>NETAUN</t>
  </si>
  <si>
    <t>NETN</t>
  </si>
  <si>
    <t>NETDOC</t>
  </si>
  <si>
    <t>change</t>
  </si>
  <si>
    <t>All Years Totals</t>
  </si>
  <si>
    <t>Percent of Grand Total</t>
  </si>
  <si>
    <t>Rural Nonlocal</t>
  </si>
  <si>
    <t>Urban Nonlocal</t>
  </si>
  <si>
    <t>Rural Nonlocal to:</t>
  </si>
  <si>
    <t>Urban Nonlocal to:</t>
  </si>
  <si>
    <t xml:space="preserve">Permits First Issued in: </t>
  </si>
  <si>
    <t xml:space="preserve">Alaska
Rural Local </t>
  </si>
  <si>
    <t xml:space="preserve">Alaska
Rural Nonlocal </t>
  </si>
  <si>
    <t xml:space="preserve">Alaska
Urban Local </t>
  </si>
  <si>
    <t xml:space="preserve">Alaska
Urban Nonlocal </t>
  </si>
  <si>
    <t>Total Net Shifts</t>
  </si>
  <si>
    <t>If the values for each resident type are '-', then no migration has occurred for the permit fishery.</t>
  </si>
  <si>
    <t>NR</t>
  </si>
  <si>
    <t>Table 3-8. Summary of Annual Net Changes in Statewide Permit Ownership</t>
  </si>
  <si>
    <t>Rural</t>
  </si>
  <si>
    <t>Local</t>
  </si>
  <si>
    <t>Nonlocal</t>
  </si>
  <si>
    <t>Urban</t>
  </si>
  <si>
    <t>DCCED /CFAB</t>
  </si>
  <si>
    <t>Year</t>
  </si>
  <si>
    <t>Transfer</t>
  </si>
  <si>
    <t>Migrate</t>
  </si>
  <si>
    <t>Cancel</t>
  </si>
  <si>
    <t>Net</t>
  </si>
  <si>
    <t>DCCED/CFAB - Department of Commerce, Community and Economic Development/Commercial Fishing and Agriculture Bank</t>
  </si>
  <si>
    <t xml:space="preserve"> * Some permit types appear as all dashes in this table since no transfers have occurred since initial issuance.  If the table shows all zeros for a permit type, this indicates there were transfers but there was no net change.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</si>
</sst>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u val="single"/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5"/>
      <color indexed="8"/>
      <name val="Garamond"/>
      <family val="1"/>
    </font>
    <font>
      <u val="single"/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name val="Garamond"/>
      <family val="1"/>
    </font>
    <font>
      <b/>
      <sz val="14"/>
      <color indexed="8"/>
      <name val="Garamond"/>
      <family val="1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i/>
      <sz val="2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center" wrapText="1"/>
    </xf>
    <xf numFmtId="3" fontId="8" fillId="33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33" borderId="14" xfId="0" applyFont="1" applyFill="1" applyBorder="1" applyAlignment="1">
      <alignment horizontal="right"/>
    </xf>
    <xf numFmtId="0" fontId="5" fillId="33" borderId="14" xfId="0" applyNumberFormat="1" applyFont="1" applyFill="1" applyBorder="1" applyAlignment="1" quotePrefix="1">
      <alignment horizontal="right"/>
    </xf>
    <xf numFmtId="0" fontId="12" fillId="33" borderId="14" xfId="0" applyNumberFormat="1" applyFont="1" applyFill="1" applyBorder="1" applyAlignment="1" quotePrefix="1">
      <alignment horizontal="right"/>
    </xf>
    <xf numFmtId="3" fontId="6" fillId="0" borderId="15" xfId="0" applyNumberFormat="1" applyFont="1" applyBorder="1" applyAlignment="1">
      <alignment horizontal="center"/>
    </xf>
    <xf numFmtId="3" fontId="8" fillId="33" borderId="16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8" fillId="33" borderId="14" xfId="0" applyNumberFormat="1" applyFont="1" applyFill="1" applyBorder="1" applyAlignment="1" quotePrefix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6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8" fillId="33" borderId="14" xfId="0" applyNumberFormat="1" applyFont="1" applyFill="1" applyBorder="1" applyAlignment="1" quotePrefix="1">
      <alignment horizontal="right" wrapText="1"/>
    </xf>
    <xf numFmtId="0" fontId="6" fillId="33" borderId="14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3" borderId="16" xfId="0" applyNumberFormat="1" applyFont="1" applyFill="1" applyBorder="1" applyAlignment="1">
      <alignment/>
    </xf>
    <xf numFmtId="0" fontId="8" fillId="33" borderId="11" xfId="0" applyNumberFormat="1" applyFont="1" applyFill="1" applyBorder="1" applyAlignment="1" quotePrefix="1">
      <alignment horizontal="left"/>
    </xf>
    <xf numFmtId="0" fontId="11" fillId="0" borderId="15" xfId="0" applyNumberFormat="1" applyFont="1" applyBorder="1" applyAlignment="1" quotePrefix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3" fontId="6" fillId="0" borderId="0" xfId="0" applyNumberFormat="1" applyFont="1" applyAlignment="1" quotePrefix="1">
      <alignment/>
    </xf>
    <xf numFmtId="3" fontId="10" fillId="0" borderId="0" xfId="0" applyNumberFormat="1" applyFont="1" applyAlignment="1" quotePrefix="1">
      <alignment/>
    </xf>
    <xf numFmtId="3" fontId="11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3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 indent="1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3" fontId="10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8" fillId="0" borderId="0" xfId="0" applyNumberFormat="1" applyFont="1" applyAlignment="1" quotePrefix="1">
      <alignment/>
    </xf>
    <xf numFmtId="0" fontId="15" fillId="0" borderId="0" xfId="0" applyFont="1" applyAlignment="1">
      <alignment/>
    </xf>
    <xf numFmtId="0" fontId="8" fillId="33" borderId="19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7" fillId="0" borderId="0" xfId="0" applyNumberFormat="1" applyFont="1" applyAlignment="1" quotePrefix="1">
      <alignment horizontal="left" indent="1"/>
    </xf>
    <xf numFmtId="0" fontId="7" fillId="0" borderId="0" xfId="0" applyNumberFormat="1" applyFont="1" applyAlignment="1" quotePrefix="1">
      <alignment horizontal="left" indent="2"/>
    </xf>
    <xf numFmtId="0" fontId="6" fillId="0" borderId="0" xfId="0" applyNumberFormat="1" applyFont="1" applyAlignment="1" quotePrefix="1">
      <alignment horizontal="left" indent="1"/>
    </xf>
    <xf numFmtId="0" fontId="6" fillId="0" borderId="0" xfId="0" applyNumberFormat="1" applyFont="1" applyAlignment="1" quotePrefix="1">
      <alignment horizontal="left" indent="1"/>
    </xf>
    <xf numFmtId="0" fontId="6" fillId="0" borderId="15" xfId="0" applyNumberFormat="1" applyFont="1" applyBorder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8" fillId="33" borderId="14" xfId="0" applyNumberFormat="1" applyFont="1" applyFill="1" applyBorder="1" applyAlignment="1" quotePrefix="1">
      <alignment horizontal="center" wrapText="1"/>
    </xf>
    <xf numFmtId="0" fontId="8" fillId="33" borderId="20" xfId="0" applyNumberFormat="1" applyFont="1" applyFill="1" applyBorder="1" applyAlignment="1" quotePrefix="1">
      <alignment horizontal="center" wrapText="1"/>
    </xf>
    <xf numFmtId="0" fontId="6" fillId="0" borderId="0" xfId="0" applyNumberFormat="1" applyFont="1" applyAlignment="1" quotePrefix="1">
      <alignment horizontal="center"/>
    </xf>
    <xf numFmtId="0" fontId="10" fillId="0" borderId="0" xfId="0" applyNumberFormat="1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center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65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53" fillId="0" borderId="21" xfId="0" applyNumberFormat="1" applyFont="1" applyBorder="1" applyAlignment="1">
      <alignment/>
    </xf>
    <xf numFmtId="0" fontId="53" fillId="0" borderId="21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65" fontId="53" fillId="0" borderId="21" xfId="0" applyNumberFormat="1" applyFont="1" applyBorder="1" applyAlignment="1">
      <alignment/>
    </xf>
    <xf numFmtId="1" fontId="53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6" fillId="0" borderId="0" xfId="0" applyNumberFormat="1" applyFont="1" applyAlignment="1" quotePrefix="1">
      <alignment/>
    </xf>
    <xf numFmtId="3" fontId="11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8" fillId="33" borderId="19" xfId="0" applyNumberFormat="1" applyFont="1" applyFill="1" applyBorder="1" applyAlignment="1" quotePrefix="1">
      <alignment/>
    </xf>
    <xf numFmtId="3" fontId="8" fillId="33" borderId="14" xfId="0" applyNumberFormat="1" applyFont="1" applyFill="1" applyBorder="1" applyAlignment="1" quotePrefix="1">
      <alignment horizontal="right"/>
    </xf>
    <xf numFmtId="3" fontId="8" fillId="33" borderId="14" xfId="0" applyNumberFormat="1" applyFont="1" applyFill="1" applyBorder="1" applyAlignment="1" quotePrefix="1">
      <alignment/>
    </xf>
    <xf numFmtId="3" fontId="7" fillId="33" borderId="20" xfId="0" applyNumberFormat="1" applyFont="1" applyFill="1" applyBorder="1" applyAlignment="1" quotePrefix="1">
      <alignment/>
    </xf>
    <xf numFmtId="3" fontId="8" fillId="33" borderId="14" xfId="0" applyNumberFormat="1" applyFont="1" applyFill="1" applyBorder="1" applyAlignment="1" quotePrefix="1">
      <alignment horizontal="left"/>
    </xf>
    <xf numFmtId="3" fontId="8" fillId="33" borderId="10" xfId="0" applyNumberFormat="1" applyFont="1" applyFill="1" applyBorder="1" applyAlignment="1" quotePrefix="1">
      <alignment horizontal="right" wrapText="1"/>
    </xf>
    <xf numFmtId="3" fontId="8" fillId="33" borderId="19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 quotePrefix="1">
      <alignment horizontal="right"/>
    </xf>
    <xf numFmtId="3" fontId="8" fillId="33" borderId="20" xfId="0" applyNumberFormat="1" applyFont="1" applyFill="1" applyBorder="1" applyAlignment="1" quotePrefix="1">
      <alignment horizontal="right"/>
    </xf>
    <xf numFmtId="3" fontId="8" fillId="33" borderId="10" xfId="0" applyNumberFormat="1" applyFont="1" applyFill="1" applyBorder="1" applyAlignment="1" quotePrefix="1">
      <alignment horizontal="right"/>
    </xf>
    <xf numFmtId="3" fontId="6" fillId="0" borderId="22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2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3" fontId="11" fillId="0" borderId="13" xfId="0" applyNumberFormat="1" applyFont="1" applyBorder="1" applyAlignment="1" quotePrefix="1">
      <alignment/>
    </xf>
    <xf numFmtId="3" fontId="11" fillId="0" borderId="0" xfId="0" applyNumberFormat="1" applyFont="1" applyBorder="1" applyAlignment="1" quotePrefix="1">
      <alignment/>
    </xf>
    <xf numFmtId="3" fontId="6" fillId="0" borderId="15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3" fontId="6" fillId="0" borderId="15" xfId="0" applyNumberFormat="1" applyFont="1" applyBorder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 quotePrefix="1">
      <alignment/>
    </xf>
    <xf numFmtId="3" fontId="11" fillId="0" borderId="15" xfId="0" applyNumberFormat="1" applyFont="1" applyBorder="1" applyAlignment="1" quotePrefix="1">
      <alignment/>
    </xf>
    <xf numFmtId="0" fontId="6" fillId="0" borderId="0" xfId="0" applyNumberFormat="1" applyFont="1" applyAlignment="1" quotePrefix="1">
      <alignment horizontal="left"/>
    </xf>
    <xf numFmtId="0" fontId="56" fillId="0" borderId="0" xfId="0" applyFont="1" applyAlignment="1">
      <alignment horizontal="left" wrapText="1"/>
    </xf>
    <xf numFmtId="3" fontId="8" fillId="33" borderId="19" xfId="0" applyNumberFormat="1" applyFont="1" applyFill="1" applyBorder="1" applyAlignment="1">
      <alignment horizontal="center" wrapText="1"/>
    </xf>
    <xf numFmtId="3" fontId="8" fillId="33" borderId="14" xfId="0" applyNumberFormat="1" applyFont="1" applyFill="1" applyBorder="1" applyAlignment="1">
      <alignment horizontal="center" wrapText="1"/>
    </xf>
    <xf numFmtId="3" fontId="8" fillId="33" borderId="2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b val="0"/>
        <i/>
      </font>
      <border>
        <right style="thin"/>
        <bottom style="thin"/>
      </border>
    </dxf>
    <dxf>
      <font>
        <b val="0"/>
        <i/>
      </font>
      <border>
        <right style="thin"/>
        <bottom style="thin"/>
      </border>
    </dxf>
    <dxf>
      <font>
        <b val="0"/>
        <i/>
      </font>
      <border>
        <right style="thin"/>
        <bottom style="thin"/>
      </border>
    </dxf>
    <dxf>
      <font>
        <b val="0"/>
        <i/>
      </font>
      <border>
        <bottom style="thin"/>
      </border>
    </dxf>
    <dxf>
      <font>
        <b val="0"/>
        <i/>
      </font>
      <border>
        <bottom style="thin"/>
      </border>
    </dxf>
    <dxf>
      <font>
        <b val="0"/>
        <i/>
      </font>
      <border>
        <left style="thin"/>
        <bottom style="thin"/>
      </border>
    </dxf>
    <dxf>
      <font>
        <b val="0"/>
        <i/>
      </font>
      <border>
        <left style="thin"/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/>
    <dxf/>
    <dxf/>
    <dxf/>
    <dxf/>
    <dxf>
      <numFmt numFmtId="165" formatCode="0.0%"/>
      <border/>
    </dxf>
    <dxf>
      <border>
        <left style="thin">
          <color rgb="FF000000"/>
        </left>
      </border>
    </dxf>
    <dxf>
      <font>
        <b val="0"/>
        <i/>
      </font>
      <border>
        <left style="thin">
          <color rgb="FF000000"/>
        </left>
        <bottom style="thin">
          <color rgb="FF000000"/>
        </bottom>
      </border>
    </dxf>
    <dxf>
      <font>
        <b val="0"/>
        <i/>
      </font>
      <border>
        <bottom style="thin">
          <color rgb="FF000000"/>
        </bottom>
      </border>
    </dxf>
    <dxf>
      <font>
        <b val="0"/>
        <i/>
      </font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3" sqref="A13"/>
    </sheetView>
  </sheetViews>
  <sheetFormatPr defaultColWidth="9.28125" defaultRowHeight="15"/>
  <cols>
    <col min="1" max="1" width="9.7109375" style="101" customWidth="1"/>
    <col min="2" max="2" width="37.28125" style="101" bestFit="1" customWidth="1"/>
    <col min="3" max="16384" width="9.28125" style="101" customWidth="1"/>
  </cols>
  <sheetData>
    <row r="1" spans="1:2" ht="15">
      <c r="A1" s="100">
        <f>Table1!N112</f>
        <v>16532</v>
      </c>
      <c r="B1" s="101" t="s">
        <v>0</v>
      </c>
    </row>
    <row r="2" spans="1:2" ht="15">
      <c r="A2" s="100">
        <f>SUM(Table1!H112:L112)</f>
        <v>14175</v>
      </c>
      <c r="B2" s="101" t="s">
        <v>1</v>
      </c>
    </row>
    <row r="3" spans="1:2" ht="15">
      <c r="A3" s="100">
        <f>A1-A2</f>
        <v>2357</v>
      </c>
      <c r="B3" s="101" t="s">
        <v>2</v>
      </c>
    </row>
    <row r="4" spans="1:2" ht="15">
      <c r="A4" s="100">
        <f>Table2!P111</f>
        <v>14415</v>
      </c>
      <c r="B4" s="101" t="s">
        <v>3</v>
      </c>
    </row>
    <row r="5" spans="1:2" ht="15">
      <c r="A5" s="100">
        <f>SUM(Table2!I111:N111)</f>
        <v>13595</v>
      </c>
      <c r="B5" s="101" t="s">
        <v>4</v>
      </c>
    </row>
    <row r="6" spans="1:2" ht="15">
      <c r="A6" s="100">
        <f>A4-A5</f>
        <v>820</v>
      </c>
      <c r="B6" s="101" t="s">
        <v>5</v>
      </c>
    </row>
    <row r="7" spans="1:2" ht="15">
      <c r="A7" s="100">
        <f>A2-A5</f>
        <v>580</v>
      </c>
      <c r="B7" s="101" t="s">
        <v>6</v>
      </c>
    </row>
    <row r="8" spans="1:2" ht="15">
      <c r="A8" s="100">
        <f>Sundry!G2</f>
        <v>708</v>
      </c>
      <c r="B8" s="101" t="s">
        <v>7</v>
      </c>
    </row>
    <row r="9" spans="1:2" ht="15">
      <c r="A9" s="100">
        <f>A12</f>
        <v>128</v>
      </c>
      <c r="B9" s="101" t="s">
        <v>8</v>
      </c>
    </row>
    <row r="10" spans="1:2" ht="15">
      <c r="A10" s="100">
        <f>A3-A6</f>
        <v>1537</v>
      </c>
      <c r="B10" s="101" t="s">
        <v>9</v>
      </c>
    </row>
    <row r="11" spans="1:7" ht="15">
      <c r="A11" s="100">
        <f>Sundry!F2</f>
        <v>1409</v>
      </c>
      <c r="B11" s="101" t="s">
        <v>10</v>
      </c>
      <c r="D11" s="100"/>
      <c r="E11" s="100"/>
      <c r="F11" s="100"/>
      <c r="G11" s="100"/>
    </row>
    <row r="12" spans="1:2" ht="15">
      <c r="A12" s="100">
        <f>Sundry!E2</f>
        <v>128</v>
      </c>
      <c r="B12" s="101" t="s">
        <v>11</v>
      </c>
    </row>
    <row r="13" spans="1:2" ht="15">
      <c r="A13" s="100">
        <f>Table4!G107</f>
        <v>36305</v>
      </c>
      <c r="B13" s="101" t="s">
        <v>12</v>
      </c>
    </row>
    <row r="14" spans="2:6" ht="15">
      <c r="B14" s="101" t="s">
        <v>13</v>
      </c>
      <c r="C14" s="102" t="s">
        <v>14</v>
      </c>
      <c r="E14" s="100">
        <v>11729</v>
      </c>
      <c r="F14" s="58" t="s">
        <v>15</v>
      </c>
    </row>
    <row r="15" spans="1:2" ht="15">
      <c r="A15" s="103">
        <f>E14/A2</f>
        <v>0.8274426807760141</v>
      </c>
      <c r="B15" s="101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82" bestFit="1" customWidth="1"/>
    <col min="2" max="2" width="7.140625" style="82" bestFit="1" customWidth="1"/>
    <col min="3" max="3" width="8.140625" style="82" bestFit="1" customWidth="1"/>
    <col min="4" max="4" width="12.28125" style="82" bestFit="1" customWidth="1"/>
    <col min="5" max="5" width="8.00390625" style="82" bestFit="1" customWidth="1"/>
    <col min="6" max="6" width="12.140625" style="82" bestFit="1" customWidth="1"/>
    <col min="7" max="7" width="9.421875" style="82" bestFit="1" customWidth="1"/>
    <col min="8" max="8" width="9.57421875" style="82" bestFit="1" customWidth="1"/>
    <col min="9" max="16384" width="9.140625" style="82" customWidth="1"/>
  </cols>
  <sheetData>
    <row r="1" spans="1:8" ht="15">
      <c r="A1" s="81" t="s">
        <v>517</v>
      </c>
      <c r="B1" s="81" t="s">
        <v>351</v>
      </c>
      <c r="C1" s="81" t="s">
        <v>518</v>
      </c>
      <c r="D1" s="81" t="s">
        <v>519</v>
      </c>
      <c r="E1" s="81" t="s">
        <v>520</v>
      </c>
      <c r="F1" s="81" t="s">
        <v>521</v>
      </c>
      <c r="G1" s="81" t="s">
        <v>522</v>
      </c>
      <c r="H1" s="81" t="s">
        <v>523</v>
      </c>
    </row>
    <row r="2" spans="1:8" ht="15">
      <c r="A2" s="81" t="s">
        <v>319</v>
      </c>
      <c r="B2" s="81" t="s">
        <v>320</v>
      </c>
      <c r="C2" s="81">
        <v>3</v>
      </c>
      <c r="D2" s="81">
        <v>100</v>
      </c>
      <c r="E2" s="81">
        <v>0</v>
      </c>
      <c r="F2" s="81">
        <v>0</v>
      </c>
      <c r="G2" s="81">
        <v>3</v>
      </c>
      <c r="H2" s="81" t="s">
        <v>368</v>
      </c>
    </row>
    <row r="3" spans="1:8" ht="15">
      <c r="A3" s="81" t="s">
        <v>321</v>
      </c>
      <c r="B3" s="81" t="s">
        <v>322</v>
      </c>
      <c r="C3" s="81">
        <v>2</v>
      </c>
      <c r="D3" s="81">
        <v>50</v>
      </c>
      <c r="E3" s="81">
        <v>2</v>
      </c>
      <c r="F3" s="81">
        <v>50</v>
      </c>
      <c r="G3" s="81">
        <v>4</v>
      </c>
      <c r="H3" s="81" t="s">
        <v>368</v>
      </c>
    </row>
    <row r="4" spans="1:8" ht="15">
      <c r="A4" s="81" t="s">
        <v>323</v>
      </c>
      <c r="B4" s="81" t="s">
        <v>324</v>
      </c>
      <c r="C4" s="81">
        <v>14</v>
      </c>
      <c r="D4" s="81">
        <v>40</v>
      </c>
      <c r="E4" s="81">
        <v>21</v>
      </c>
      <c r="F4" s="81">
        <v>60</v>
      </c>
      <c r="G4" s="81">
        <v>35</v>
      </c>
      <c r="H4" s="81" t="s">
        <v>368</v>
      </c>
    </row>
    <row r="5" spans="1:8" ht="15">
      <c r="A5" s="81" t="s">
        <v>325</v>
      </c>
      <c r="B5" s="81" t="s">
        <v>326</v>
      </c>
      <c r="C5" s="81">
        <v>7</v>
      </c>
      <c r="D5" s="81">
        <v>38.888888888888886</v>
      </c>
      <c r="E5" s="81">
        <v>11</v>
      </c>
      <c r="F5" s="81">
        <v>61.111111111111114</v>
      </c>
      <c r="G5" s="81">
        <v>18</v>
      </c>
      <c r="H5" s="81" t="s">
        <v>368</v>
      </c>
    </row>
    <row r="6" spans="1:8" ht="15">
      <c r="A6" s="81" t="s">
        <v>248</v>
      </c>
      <c r="B6" s="81" t="s">
        <v>249</v>
      </c>
      <c r="C6" s="81">
        <v>46</v>
      </c>
      <c r="D6" s="81">
        <v>63.013698630136986</v>
      </c>
      <c r="E6" s="81">
        <v>27</v>
      </c>
      <c r="F6" s="81">
        <v>36.986301369863014</v>
      </c>
      <c r="G6" s="81">
        <v>73</v>
      </c>
      <c r="H6" s="81" t="s">
        <v>376</v>
      </c>
    </row>
    <row r="7" spans="1:8" ht="15">
      <c r="A7" s="81" t="s">
        <v>250</v>
      </c>
      <c r="B7" s="81" t="s">
        <v>251</v>
      </c>
      <c r="C7" s="81">
        <v>11</v>
      </c>
      <c r="D7" s="81">
        <v>55</v>
      </c>
      <c r="E7" s="81">
        <v>9</v>
      </c>
      <c r="F7" s="81">
        <v>45</v>
      </c>
      <c r="G7" s="81">
        <v>20</v>
      </c>
      <c r="H7" s="81" t="s">
        <v>376</v>
      </c>
    </row>
    <row r="8" spans="1:8" ht="15">
      <c r="A8" s="81" t="s">
        <v>252</v>
      </c>
      <c r="B8" s="81" t="s">
        <v>253</v>
      </c>
      <c r="C8" s="81">
        <v>0</v>
      </c>
      <c r="D8" s="81">
        <v>0</v>
      </c>
      <c r="E8" s="81">
        <v>1</v>
      </c>
      <c r="F8" s="81">
        <v>100</v>
      </c>
      <c r="G8" s="81">
        <v>1</v>
      </c>
      <c r="H8" s="81" t="s">
        <v>376</v>
      </c>
    </row>
    <row r="9" spans="1:8" ht="15">
      <c r="A9" s="81" t="s">
        <v>305</v>
      </c>
      <c r="B9" s="81" t="s">
        <v>306</v>
      </c>
      <c r="C9" s="81">
        <v>13</v>
      </c>
      <c r="D9" s="81">
        <v>76.47058823529412</v>
      </c>
      <c r="E9" s="81">
        <v>4</v>
      </c>
      <c r="F9" s="81">
        <v>23.529411764705884</v>
      </c>
      <c r="G9" s="81">
        <v>17</v>
      </c>
      <c r="H9" s="81" t="s">
        <v>381</v>
      </c>
    </row>
    <row r="10" spans="1:8" ht="15">
      <c r="A10" s="81" t="s">
        <v>295</v>
      </c>
      <c r="B10" s="81" t="s">
        <v>296</v>
      </c>
      <c r="C10" s="81">
        <v>39</v>
      </c>
      <c r="D10" s="81">
        <v>52</v>
      </c>
      <c r="E10" s="81">
        <v>36</v>
      </c>
      <c r="F10" s="81">
        <v>48</v>
      </c>
      <c r="G10" s="81">
        <v>75</v>
      </c>
      <c r="H10" s="81" t="s">
        <v>381</v>
      </c>
    </row>
    <row r="11" spans="1:8" ht="15">
      <c r="A11" s="81" t="s">
        <v>297</v>
      </c>
      <c r="B11" s="81" t="s">
        <v>298</v>
      </c>
      <c r="C11" s="81">
        <v>47</v>
      </c>
      <c r="D11" s="81">
        <v>52.80898876404494</v>
      </c>
      <c r="E11" s="81">
        <v>42</v>
      </c>
      <c r="F11" s="81">
        <v>47.19101123595506</v>
      </c>
      <c r="G11" s="81">
        <v>89</v>
      </c>
      <c r="H11" s="81" t="s">
        <v>381</v>
      </c>
    </row>
    <row r="12" spans="1:8" ht="15">
      <c r="A12" s="81" t="s">
        <v>299</v>
      </c>
      <c r="B12" s="81" t="s">
        <v>300</v>
      </c>
      <c r="C12" s="81">
        <v>112</v>
      </c>
      <c r="D12" s="81">
        <v>58.94736842105263</v>
      </c>
      <c r="E12" s="81">
        <v>78</v>
      </c>
      <c r="F12" s="81">
        <v>41.05263157894737</v>
      </c>
      <c r="G12" s="81">
        <v>190</v>
      </c>
      <c r="H12" s="81" t="s">
        <v>381</v>
      </c>
    </row>
    <row r="13" spans="1:8" ht="15">
      <c r="A13" s="81" t="s">
        <v>301</v>
      </c>
      <c r="B13" s="81" t="s">
        <v>302</v>
      </c>
      <c r="C13" s="81">
        <v>107</v>
      </c>
      <c r="D13" s="81">
        <v>54.31472081218274</v>
      </c>
      <c r="E13" s="81">
        <v>90</v>
      </c>
      <c r="F13" s="81">
        <v>45.68527918781726</v>
      </c>
      <c r="G13" s="81">
        <v>197</v>
      </c>
      <c r="H13" s="81" t="s">
        <v>381</v>
      </c>
    </row>
    <row r="14" spans="1:8" ht="15">
      <c r="A14" s="81" t="s">
        <v>237</v>
      </c>
      <c r="B14" s="81" t="s">
        <v>238</v>
      </c>
      <c r="C14" s="81">
        <v>41</v>
      </c>
      <c r="D14" s="81">
        <v>46.59090909090909</v>
      </c>
      <c r="E14" s="81">
        <v>47</v>
      </c>
      <c r="F14" s="81">
        <v>53.40909090909091</v>
      </c>
      <c r="G14" s="81">
        <v>88</v>
      </c>
      <c r="H14" s="81" t="s">
        <v>391</v>
      </c>
    </row>
    <row r="15" spans="1:8" ht="15">
      <c r="A15" s="81" t="s">
        <v>241</v>
      </c>
      <c r="B15" s="81" t="s">
        <v>242</v>
      </c>
      <c r="C15" s="81">
        <v>106</v>
      </c>
      <c r="D15" s="81">
        <v>53.535353535353536</v>
      </c>
      <c r="E15" s="81">
        <v>92</v>
      </c>
      <c r="F15" s="81">
        <v>46.464646464646464</v>
      </c>
      <c r="G15" s="81">
        <v>198</v>
      </c>
      <c r="H15" s="81" t="s">
        <v>391</v>
      </c>
    </row>
    <row r="16" spans="1:8" ht="15">
      <c r="A16" s="81" t="s">
        <v>243</v>
      </c>
      <c r="B16" s="81" t="s">
        <v>244</v>
      </c>
      <c r="C16" s="81">
        <v>84</v>
      </c>
      <c r="D16" s="81">
        <v>54.90196078431372</v>
      </c>
      <c r="E16" s="81">
        <v>69</v>
      </c>
      <c r="F16" s="81">
        <v>45.09803921568628</v>
      </c>
      <c r="G16" s="81">
        <v>153</v>
      </c>
      <c r="H16" s="81" t="s">
        <v>391</v>
      </c>
    </row>
    <row r="17" spans="1:8" ht="15">
      <c r="A17" s="81" t="s">
        <v>272</v>
      </c>
      <c r="B17" s="81" t="s">
        <v>273</v>
      </c>
      <c r="C17" s="81">
        <v>45</v>
      </c>
      <c r="D17" s="81">
        <v>37.5</v>
      </c>
      <c r="E17" s="81">
        <v>75</v>
      </c>
      <c r="F17" s="81">
        <v>62.5</v>
      </c>
      <c r="G17" s="81">
        <v>120</v>
      </c>
      <c r="H17" s="81" t="s">
        <v>376</v>
      </c>
    </row>
    <row r="18" spans="1:8" ht="15">
      <c r="A18" s="81" t="s">
        <v>281</v>
      </c>
      <c r="B18" s="81" t="s">
        <v>282</v>
      </c>
      <c r="C18" s="81">
        <v>1</v>
      </c>
      <c r="D18" s="81">
        <v>100</v>
      </c>
      <c r="E18" s="81">
        <v>0</v>
      </c>
      <c r="F18" s="81">
        <v>0</v>
      </c>
      <c r="G18" s="81">
        <v>1</v>
      </c>
      <c r="H18" s="81" t="s">
        <v>396</v>
      </c>
    </row>
    <row r="19" spans="1:8" ht="15">
      <c r="A19" s="81" t="s">
        <v>239</v>
      </c>
      <c r="B19" s="81" t="s">
        <v>240</v>
      </c>
      <c r="C19" s="81">
        <v>172</v>
      </c>
      <c r="D19" s="81">
        <v>57.142857142857146</v>
      </c>
      <c r="E19" s="81">
        <v>129</v>
      </c>
      <c r="F19" s="81">
        <v>42.857142857142854</v>
      </c>
      <c r="G19" s="81">
        <v>301</v>
      </c>
      <c r="H19" s="81" t="s">
        <v>391</v>
      </c>
    </row>
    <row r="20" spans="1:8" ht="15">
      <c r="A20" s="81" t="s">
        <v>268</v>
      </c>
      <c r="B20" s="81" t="s">
        <v>269</v>
      </c>
      <c r="C20" s="81">
        <v>25</v>
      </c>
      <c r="D20" s="81">
        <v>62.5</v>
      </c>
      <c r="E20" s="81">
        <v>15</v>
      </c>
      <c r="F20" s="81">
        <v>37.5</v>
      </c>
      <c r="G20" s="81">
        <v>40</v>
      </c>
      <c r="H20" s="81" t="s">
        <v>376</v>
      </c>
    </row>
    <row r="21" spans="1:8" ht="15">
      <c r="A21" s="81" t="s">
        <v>274</v>
      </c>
      <c r="B21" s="81" t="s">
        <v>275</v>
      </c>
      <c r="C21" s="81">
        <v>94</v>
      </c>
      <c r="D21" s="81">
        <v>50.810810810810814</v>
      </c>
      <c r="E21" s="81">
        <v>91</v>
      </c>
      <c r="F21" s="81">
        <v>49.189189189189186</v>
      </c>
      <c r="G21" s="81">
        <v>185</v>
      </c>
      <c r="H21" s="81" t="s">
        <v>376</v>
      </c>
    </row>
    <row r="22" spans="1:8" ht="15">
      <c r="A22" s="81" t="s">
        <v>283</v>
      </c>
      <c r="B22" s="81" t="s">
        <v>284</v>
      </c>
      <c r="C22" s="81">
        <v>52</v>
      </c>
      <c r="D22" s="81">
        <v>78.78787878787878</v>
      </c>
      <c r="E22" s="81">
        <v>14</v>
      </c>
      <c r="F22" s="81">
        <v>21.21212121212121</v>
      </c>
      <c r="G22" s="81">
        <v>66</v>
      </c>
      <c r="H22" s="81" t="s">
        <v>396</v>
      </c>
    </row>
    <row r="23" spans="1:8" ht="15">
      <c r="A23" s="81" t="s">
        <v>285</v>
      </c>
      <c r="B23" s="81" t="s">
        <v>286</v>
      </c>
      <c r="C23" s="81">
        <v>12</v>
      </c>
      <c r="D23" s="81">
        <v>75</v>
      </c>
      <c r="E23" s="81">
        <v>4</v>
      </c>
      <c r="F23" s="81">
        <v>25</v>
      </c>
      <c r="G23" s="81">
        <v>16</v>
      </c>
      <c r="H23" s="81" t="s">
        <v>396</v>
      </c>
    </row>
    <row r="24" spans="1:8" ht="15">
      <c r="A24" s="81" t="s">
        <v>334</v>
      </c>
      <c r="B24" s="81" t="s">
        <v>335</v>
      </c>
      <c r="C24" s="81">
        <v>23</v>
      </c>
      <c r="D24" s="81">
        <v>85.18518518518519</v>
      </c>
      <c r="E24" s="81">
        <v>4</v>
      </c>
      <c r="F24" s="81">
        <v>14.814814814814815</v>
      </c>
      <c r="G24" s="81">
        <v>27</v>
      </c>
      <c r="H24" s="81" t="s">
        <v>402</v>
      </c>
    </row>
    <row r="25" spans="1:8" ht="15">
      <c r="A25" s="81" t="s">
        <v>287</v>
      </c>
      <c r="B25" s="81" t="s">
        <v>288</v>
      </c>
      <c r="C25" s="81">
        <v>46</v>
      </c>
      <c r="D25" s="81">
        <v>97.87234042553192</v>
      </c>
      <c r="E25" s="81">
        <v>1</v>
      </c>
      <c r="F25" s="81">
        <v>2.127659574468085</v>
      </c>
      <c r="G25" s="81">
        <v>47</v>
      </c>
      <c r="H25" s="81" t="s">
        <v>396</v>
      </c>
    </row>
    <row r="26" spans="1:8" ht="15">
      <c r="A26" s="81" t="s">
        <v>289</v>
      </c>
      <c r="B26" s="81" t="s">
        <v>290</v>
      </c>
      <c r="C26" s="81">
        <v>179</v>
      </c>
      <c r="D26" s="81">
        <v>54.40729483282675</v>
      </c>
      <c r="E26" s="81">
        <v>150</v>
      </c>
      <c r="F26" s="81">
        <v>45.59270516717325</v>
      </c>
      <c r="G26" s="81">
        <v>329</v>
      </c>
      <c r="H26" s="81" t="s">
        <v>396</v>
      </c>
    </row>
    <row r="27" spans="1:8" ht="15">
      <c r="A27" s="81" t="s">
        <v>336</v>
      </c>
      <c r="B27" s="81" t="s">
        <v>337</v>
      </c>
      <c r="C27" s="81">
        <v>2</v>
      </c>
      <c r="D27" s="81">
        <v>100</v>
      </c>
      <c r="E27" s="81">
        <v>0</v>
      </c>
      <c r="F27" s="81">
        <v>0</v>
      </c>
      <c r="G27" s="81">
        <v>2</v>
      </c>
      <c r="H27" s="81" t="s">
        <v>402</v>
      </c>
    </row>
    <row r="28" spans="1:8" ht="15">
      <c r="A28" s="81" t="s">
        <v>330</v>
      </c>
      <c r="B28" s="81" t="s">
        <v>331</v>
      </c>
      <c r="C28" s="81">
        <v>23</v>
      </c>
      <c r="D28" s="81">
        <v>46.93877551020408</v>
      </c>
      <c r="E28" s="81">
        <v>26</v>
      </c>
      <c r="F28" s="81">
        <v>53.06122448979592</v>
      </c>
      <c r="G28" s="81">
        <v>49</v>
      </c>
      <c r="H28" s="81" t="s">
        <v>402</v>
      </c>
    </row>
    <row r="29" spans="1:8" ht="15">
      <c r="A29" s="81" t="s">
        <v>254</v>
      </c>
      <c r="B29" s="81" t="s">
        <v>255</v>
      </c>
      <c r="C29" s="81">
        <v>6</v>
      </c>
      <c r="D29" s="81">
        <v>54.54545454545455</v>
      </c>
      <c r="E29" s="81">
        <v>5</v>
      </c>
      <c r="F29" s="81">
        <v>45.45454545454545</v>
      </c>
      <c r="G29" s="81">
        <v>11</v>
      </c>
      <c r="H29" s="81" t="s">
        <v>376</v>
      </c>
    </row>
    <row r="30" spans="1:8" ht="15">
      <c r="A30" s="81" t="s">
        <v>256</v>
      </c>
      <c r="B30" s="81" t="s">
        <v>257</v>
      </c>
      <c r="C30" s="81">
        <v>4</v>
      </c>
      <c r="D30" s="81">
        <v>66.66666666666667</v>
      </c>
      <c r="E30" s="81">
        <v>2</v>
      </c>
      <c r="F30" s="81">
        <v>33.333333333333336</v>
      </c>
      <c r="G30" s="81">
        <v>6</v>
      </c>
      <c r="H30" s="81" t="s">
        <v>376</v>
      </c>
    </row>
    <row r="31" spans="1:8" ht="15">
      <c r="A31" s="81" t="s">
        <v>258</v>
      </c>
      <c r="B31" s="81" t="s">
        <v>259</v>
      </c>
      <c r="C31" s="81">
        <v>7</v>
      </c>
      <c r="D31" s="81">
        <v>87.5</v>
      </c>
      <c r="E31" s="81">
        <v>1</v>
      </c>
      <c r="F31" s="81">
        <v>12.5</v>
      </c>
      <c r="G31" s="81">
        <v>8</v>
      </c>
      <c r="H31" s="81" t="s">
        <v>376</v>
      </c>
    </row>
    <row r="32" spans="1:8" ht="15">
      <c r="A32" s="81" t="s">
        <v>260</v>
      </c>
      <c r="B32" s="81" t="s">
        <v>261</v>
      </c>
      <c r="C32" s="81">
        <v>13</v>
      </c>
      <c r="D32" s="81">
        <v>76.47058823529412</v>
      </c>
      <c r="E32" s="81">
        <v>4</v>
      </c>
      <c r="F32" s="81">
        <v>23.529411764705884</v>
      </c>
      <c r="G32" s="81">
        <v>17</v>
      </c>
      <c r="H32" s="81" t="s">
        <v>376</v>
      </c>
    </row>
    <row r="33" spans="1:8" ht="15">
      <c r="A33" s="81" t="s">
        <v>262</v>
      </c>
      <c r="B33" s="81" t="s">
        <v>263</v>
      </c>
      <c r="C33" s="81">
        <v>2</v>
      </c>
      <c r="D33" s="81">
        <v>50</v>
      </c>
      <c r="E33" s="81">
        <v>2</v>
      </c>
      <c r="F33" s="81">
        <v>50</v>
      </c>
      <c r="G33" s="81">
        <v>4</v>
      </c>
      <c r="H33" s="81" t="s">
        <v>376</v>
      </c>
    </row>
    <row r="34" spans="1:8" ht="15">
      <c r="A34" s="81" t="s">
        <v>264</v>
      </c>
      <c r="B34" s="81" t="s">
        <v>265</v>
      </c>
      <c r="C34" s="81">
        <v>21</v>
      </c>
      <c r="D34" s="81">
        <v>72.41379310344827</v>
      </c>
      <c r="E34" s="81">
        <v>8</v>
      </c>
      <c r="F34" s="81">
        <v>27.586206896551722</v>
      </c>
      <c r="G34" s="81">
        <v>29</v>
      </c>
      <c r="H34" s="81" t="s">
        <v>376</v>
      </c>
    </row>
    <row r="35" spans="1:8" ht="15">
      <c r="A35" s="81" t="s">
        <v>279</v>
      </c>
      <c r="B35" s="81" t="s">
        <v>280</v>
      </c>
      <c r="C35" s="81">
        <v>99</v>
      </c>
      <c r="D35" s="81">
        <v>83.19327731092437</v>
      </c>
      <c r="E35" s="81">
        <v>20</v>
      </c>
      <c r="F35" s="81">
        <v>16.80672268907563</v>
      </c>
      <c r="G35" s="81">
        <v>119</v>
      </c>
      <c r="H35" s="81" t="s">
        <v>396</v>
      </c>
    </row>
    <row r="36" spans="1:8" ht="15">
      <c r="A36" s="81" t="s">
        <v>307</v>
      </c>
      <c r="B36" s="81" t="s">
        <v>308</v>
      </c>
      <c r="C36" s="81">
        <v>85</v>
      </c>
      <c r="D36" s="81">
        <v>51.829268292682926</v>
      </c>
      <c r="E36" s="81">
        <v>79</v>
      </c>
      <c r="F36" s="81">
        <v>48.170731707317074</v>
      </c>
      <c r="G36" s="81">
        <v>164</v>
      </c>
      <c r="H36" s="81" t="s">
        <v>368</v>
      </c>
    </row>
    <row r="37" spans="1:8" ht="15">
      <c r="A37" s="81" t="s">
        <v>309</v>
      </c>
      <c r="B37" s="81" t="s">
        <v>310</v>
      </c>
      <c r="C37" s="81">
        <v>78</v>
      </c>
      <c r="D37" s="81">
        <v>52.348993288590606</v>
      </c>
      <c r="E37" s="81">
        <v>71</v>
      </c>
      <c r="F37" s="81">
        <v>47.651006711409394</v>
      </c>
      <c r="G37" s="81">
        <v>149</v>
      </c>
      <c r="H37" s="81" t="s">
        <v>368</v>
      </c>
    </row>
    <row r="38" spans="1:8" ht="15">
      <c r="A38" s="81" t="s">
        <v>270</v>
      </c>
      <c r="B38" s="81" t="s">
        <v>271</v>
      </c>
      <c r="C38" s="81">
        <v>54</v>
      </c>
      <c r="D38" s="81">
        <v>37.76223776223776</v>
      </c>
      <c r="E38" s="81">
        <v>89</v>
      </c>
      <c r="F38" s="81">
        <v>62.23776223776224</v>
      </c>
      <c r="G38" s="81">
        <v>143</v>
      </c>
      <c r="H38" s="81" t="s">
        <v>376</v>
      </c>
    </row>
    <row r="39" spans="1:8" ht="15">
      <c r="A39" s="81" t="s">
        <v>313</v>
      </c>
      <c r="B39" s="81" t="s">
        <v>314</v>
      </c>
      <c r="C39" s="81">
        <v>11</v>
      </c>
      <c r="D39" s="81">
        <v>68.75</v>
      </c>
      <c r="E39" s="81">
        <v>5</v>
      </c>
      <c r="F39" s="81">
        <v>31.25</v>
      </c>
      <c r="G39" s="81">
        <v>16</v>
      </c>
      <c r="H39" s="81" t="s">
        <v>368</v>
      </c>
    </row>
    <row r="40" spans="1:8" ht="15">
      <c r="A40" s="81" t="s">
        <v>315</v>
      </c>
      <c r="B40" s="81" t="s">
        <v>316</v>
      </c>
      <c r="C40" s="81">
        <v>92</v>
      </c>
      <c r="D40" s="81">
        <v>50.828729281767956</v>
      </c>
      <c r="E40" s="81">
        <v>89</v>
      </c>
      <c r="F40" s="81">
        <v>49.171270718232044</v>
      </c>
      <c r="G40" s="81">
        <v>181</v>
      </c>
      <c r="H40" s="81" t="s">
        <v>368</v>
      </c>
    </row>
    <row r="41" spans="1:8" ht="15">
      <c r="A41" s="81" t="s">
        <v>332</v>
      </c>
      <c r="B41" s="81" t="s">
        <v>333</v>
      </c>
      <c r="C41" s="81">
        <v>60</v>
      </c>
      <c r="D41" s="81">
        <v>41.95804195804196</v>
      </c>
      <c r="E41" s="81">
        <v>83</v>
      </c>
      <c r="F41" s="81">
        <v>58.04195804195804</v>
      </c>
      <c r="G41" s="81">
        <v>143</v>
      </c>
      <c r="H41" s="81" t="s">
        <v>402</v>
      </c>
    </row>
    <row r="42" spans="1:8" ht="15">
      <c r="A42" s="81" t="s">
        <v>186</v>
      </c>
      <c r="B42" s="81" t="s">
        <v>187</v>
      </c>
      <c r="C42" s="81">
        <v>737</v>
      </c>
      <c r="D42" s="81">
        <v>65.10600706713781</v>
      </c>
      <c r="E42" s="81">
        <v>395</v>
      </c>
      <c r="F42" s="81">
        <v>34.89399293286219</v>
      </c>
      <c r="G42" s="81">
        <v>1132</v>
      </c>
      <c r="H42" s="81" t="s">
        <v>425</v>
      </c>
    </row>
    <row r="43" spans="1:8" ht="15">
      <c r="A43" s="81" t="s">
        <v>194</v>
      </c>
      <c r="B43" s="81" t="s">
        <v>195</v>
      </c>
      <c r="C43" s="81">
        <v>514</v>
      </c>
      <c r="D43" s="81">
        <v>58.74285714285714</v>
      </c>
      <c r="E43" s="81">
        <v>361</v>
      </c>
      <c r="F43" s="81">
        <v>41.25714285714286</v>
      </c>
      <c r="G43" s="81">
        <v>875</v>
      </c>
      <c r="H43" s="81" t="s">
        <v>425</v>
      </c>
    </row>
    <row r="44" spans="1:8" ht="15">
      <c r="A44" s="81" t="s">
        <v>200</v>
      </c>
      <c r="B44" s="81" t="s">
        <v>201</v>
      </c>
      <c r="C44" s="81">
        <v>182</v>
      </c>
      <c r="D44" s="81">
        <v>71.37254901960785</v>
      </c>
      <c r="E44" s="81">
        <v>73</v>
      </c>
      <c r="F44" s="81">
        <v>28.627450980392158</v>
      </c>
      <c r="G44" s="81">
        <v>255</v>
      </c>
      <c r="H44" s="81" t="s">
        <v>425</v>
      </c>
    </row>
    <row r="45" spans="1:8" ht="15">
      <c r="A45" s="81" t="s">
        <v>206</v>
      </c>
      <c r="B45" s="81" t="s">
        <v>207</v>
      </c>
      <c r="C45" s="81">
        <v>623</v>
      </c>
      <c r="D45" s="81">
        <v>52.30898404701931</v>
      </c>
      <c r="E45" s="81">
        <v>568</v>
      </c>
      <c r="F45" s="81">
        <v>47.69101595298069</v>
      </c>
      <c r="G45" s="81">
        <v>1191</v>
      </c>
      <c r="H45" s="81" t="s">
        <v>425</v>
      </c>
    </row>
    <row r="46" spans="1:8" ht="15">
      <c r="A46" s="81" t="s">
        <v>212</v>
      </c>
      <c r="B46" s="81" t="s">
        <v>213</v>
      </c>
      <c r="C46" s="81">
        <v>96</v>
      </c>
      <c r="D46" s="81">
        <v>52.747252747252745</v>
      </c>
      <c r="E46" s="81">
        <v>86</v>
      </c>
      <c r="F46" s="81">
        <v>47.252747252747255</v>
      </c>
      <c r="G46" s="81">
        <v>182</v>
      </c>
      <c r="H46" s="81" t="s">
        <v>425</v>
      </c>
    </row>
    <row r="47" spans="1:8" ht="15">
      <c r="A47" s="81" t="s">
        <v>214</v>
      </c>
      <c r="B47" s="81" t="s">
        <v>215</v>
      </c>
      <c r="C47" s="81">
        <v>202</v>
      </c>
      <c r="D47" s="81">
        <v>62.732919254658384</v>
      </c>
      <c r="E47" s="81">
        <v>120</v>
      </c>
      <c r="F47" s="81">
        <v>37.267080745341616</v>
      </c>
      <c r="G47" s="81">
        <v>322</v>
      </c>
      <c r="H47" s="81" t="s">
        <v>425</v>
      </c>
    </row>
    <row r="48" spans="1:8" ht="15">
      <c r="A48" s="81" t="s">
        <v>208</v>
      </c>
      <c r="B48" s="81" t="s">
        <v>209</v>
      </c>
      <c r="C48" s="81">
        <v>83</v>
      </c>
      <c r="D48" s="81">
        <v>61.48148148148148</v>
      </c>
      <c r="E48" s="81">
        <v>52</v>
      </c>
      <c r="F48" s="81">
        <v>38.51851851851852</v>
      </c>
      <c r="G48" s="81">
        <v>135</v>
      </c>
      <c r="H48" s="81" t="s">
        <v>425</v>
      </c>
    </row>
    <row r="49" spans="1:8" ht="15">
      <c r="A49" s="81" t="s">
        <v>188</v>
      </c>
      <c r="B49" s="81" t="s">
        <v>189</v>
      </c>
      <c r="C49" s="81">
        <v>1116</v>
      </c>
      <c r="D49" s="81">
        <v>61.72566371681416</v>
      </c>
      <c r="E49" s="81">
        <v>692</v>
      </c>
      <c r="F49" s="81">
        <v>38.27433628318584</v>
      </c>
      <c r="G49" s="81">
        <v>1808</v>
      </c>
      <c r="H49" s="81" t="s">
        <v>425</v>
      </c>
    </row>
    <row r="50" spans="1:8" ht="15">
      <c r="A50" s="81" t="s">
        <v>196</v>
      </c>
      <c r="B50" s="81" t="s">
        <v>197</v>
      </c>
      <c r="C50" s="81">
        <v>879</v>
      </c>
      <c r="D50" s="81">
        <v>52.41502683363149</v>
      </c>
      <c r="E50" s="81">
        <v>798</v>
      </c>
      <c r="F50" s="81">
        <v>47.58497316636851</v>
      </c>
      <c r="G50" s="81">
        <v>1677</v>
      </c>
      <c r="H50" s="81" t="s">
        <v>425</v>
      </c>
    </row>
    <row r="51" spans="1:8" ht="15">
      <c r="A51" s="81" t="s">
        <v>202</v>
      </c>
      <c r="B51" s="81" t="s">
        <v>203</v>
      </c>
      <c r="C51" s="81">
        <v>1227</v>
      </c>
      <c r="D51" s="81">
        <v>63.24742268041237</v>
      </c>
      <c r="E51" s="81">
        <v>713</v>
      </c>
      <c r="F51" s="81">
        <v>36.75257731958763</v>
      </c>
      <c r="G51" s="81">
        <v>1940</v>
      </c>
      <c r="H51" s="81" t="s">
        <v>425</v>
      </c>
    </row>
    <row r="52" spans="1:8" ht="15">
      <c r="A52" s="81" t="s">
        <v>216</v>
      </c>
      <c r="B52" s="81" t="s">
        <v>217</v>
      </c>
      <c r="C52" s="81">
        <v>330</v>
      </c>
      <c r="D52" s="81">
        <v>57.291666666666664</v>
      </c>
      <c r="E52" s="81">
        <v>246</v>
      </c>
      <c r="F52" s="81">
        <v>42.708333333333336</v>
      </c>
      <c r="G52" s="81">
        <v>576</v>
      </c>
      <c r="H52" s="81" t="s">
        <v>425</v>
      </c>
    </row>
    <row r="53" spans="1:8" ht="15">
      <c r="A53" s="81" t="s">
        <v>220</v>
      </c>
      <c r="B53" s="81" t="s">
        <v>221</v>
      </c>
      <c r="C53" s="81">
        <v>3692</v>
      </c>
      <c r="D53" s="81">
        <v>66.5465032444124</v>
      </c>
      <c r="E53" s="81">
        <v>1856</v>
      </c>
      <c r="F53" s="81">
        <v>33.4534967555876</v>
      </c>
      <c r="G53" s="81">
        <v>5548</v>
      </c>
      <c r="H53" s="81" t="s">
        <v>425</v>
      </c>
    </row>
    <row r="54" spans="1:8" ht="15">
      <c r="A54" s="81" t="s">
        <v>192</v>
      </c>
      <c r="B54" s="81" t="s">
        <v>193</v>
      </c>
      <c r="C54" s="81">
        <v>387</v>
      </c>
      <c r="D54" s="81">
        <v>65.92844974446338</v>
      </c>
      <c r="E54" s="81">
        <v>200</v>
      </c>
      <c r="F54" s="81">
        <v>34.07155025553663</v>
      </c>
      <c r="G54" s="81">
        <v>587</v>
      </c>
      <c r="H54" s="81" t="s">
        <v>425</v>
      </c>
    </row>
    <row r="55" spans="1:8" ht="15">
      <c r="A55" s="81" t="s">
        <v>198</v>
      </c>
      <c r="B55" s="81" t="s">
        <v>199</v>
      </c>
      <c r="C55" s="81">
        <v>74</v>
      </c>
      <c r="D55" s="81">
        <v>62.18487394957983</v>
      </c>
      <c r="E55" s="81">
        <v>45</v>
      </c>
      <c r="F55" s="81">
        <v>37.81512605042017</v>
      </c>
      <c r="G55" s="81">
        <v>119</v>
      </c>
      <c r="H55" s="81" t="s">
        <v>425</v>
      </c>
    </row>
    <row r="56" spans="1:8" ht="15">
      <c r="A56" s="81" t="s">
        <v>204</v>
      </c>
      <c r="B56" s="81" t="s">
        <v>205</v>
      </c>
      <c r="C56" s="81">
        <v>1630</v>
      </c>
      <c r="D56" s="81">
        <v>61.324303987960874</v>
      </c>
      <c r="E56" s="81">
        <v>1028</v>
      </c>
      <c r="F56" s="81">
        <v>38.675696012039126</v>
      </c>
      <c r="G56" s="81">
        <v>2658</v>
      </c>
      <c r="H56" s="81" t="s">
        <v>425</v>
      </c>
    </row>
    <row r="57" spans="1:8" ht="15">
      <c r="A57" s="81" t="s">
        <v>210</v>
      </c>
      <c r="B57" s="81" t="s">
        <v>211</v>
      </c>
      <c r="C57" s="81">
        <v>546</v>
      </c>
      <c r="D57" s="81">
        <v>61.14221724524076</v>
      </c>
      <c r="E57" s="81">
        <v>347</v>
      </c>
      <c r="F57" s="81">
        <v>38.85778275475924</v>
      </c>
      <c r="G57" s="81">
        <v>893</v>
      </c>
      <c r="H57" s="81" t="s">
        <v>425</v>
      </c>
    </row>
    <row r="58" spans="1:8" ht="15">
      <c r="A58" s="81" t="s">
        <v>218</v>
      </c>
      <c r="B58" s="81" t="s">
        <v>219</v>
      </c>
      <c r="C58" s="81">
        <v>292</v>
      </c>
      <c r="D58" s="81">
        <v>64.03508771929825</v>
      </c>
      <c r="E58" s="81">
        <v>164</v>
      </c>
      <c r="F58" s="81">
        <v>35.96491228070175</v>
      </c>
      <c r="G58" s="81">
        <v>456</v>
      </c>
      <c r="H58" s="81" t="s">
        <v>425</v>
      </c>
    </row>
    <row r="59" spans="1:8" ht="15">
      <c r="A59" s="81" t="s">
        <v>224</v>
      </c>
      <c r="B59" s="81" t="s">
        <v>225</v>
      </c>
      <c r="C59" s="81">
        <v>64</v>
      </c>
      <c r="D59" s="81">
        <v>56.63716814159292</v>
      </c>
      <c r="E59" s="81">
        <v>49</v>
      </c>
      <c r="F59" s="81">
        <v>43.36283185840708</v>
      </c>
      <c r="G59" s="81">
        <v>113</v>
      </c>
      <c r="H59" s="81" t="s">
        <v>432</v>
      </c>
    </row>
    <row r="60" spans="1:8" ht="15">
      <c r="A60" s="81" t="s">
        <v>222</v>
      </c>
      <c r="B60" s="81" t="s">
        <v>223</v>
      </c>
      <c r="C60" s="81">
        <v>2034</v>
      </c>
      <c r="D60" s="81">
        <v>61.59903089036947</v>
      </c>
      <c r="E60" s="81">
        <v>1268</v>
      </c>
      <c r="F60" s="81">
        <v>38.40096910963053</v>
      </c>
      <c r="G60" s="81">
        <v>3302</v>
      </c>
      <c r="H60" s="81" t="s">
        <v>425</v>
      </c>
    </row>
    <row r="61" spans="1:8" ht="15">
      <c r="A61" s="81" t="s">
        <v>228</v>
      </c>
      <c r="B61" s="81" t="s">
        <v>229</v>
      </c>
      <c r="C61" s="81">
        <v>1123</v>
      </c>
      <c r="D61" s="81">
        <v>80.27162258756255</v>
      </c>
      <c r="E61" s="81">
        <v>276</v>
      </c>
      <c r="F61" s="81">
        <v>19.728377412437457</v>
      </c>
      <c r="G61" s="81">
        <v>1399</v>
      </c>
      <c r="H61" s="81" t="s">
        <v>432</v>
      </c>
    </row>
    <row r="62" spans="1:8" ht="15">
      <c r="A62" s="81" t="s">
        <v>230</v>
      </c>
      <c r="B62" s="81" t="s">
        <v>231</v>
      </c>
      <c r="C62" s="81">
        <v>291</v>
      </c>
      <c r="D62" s="81">
        <v>76.17801047120419</v>
      </c>
      <c r="E62" s="81">
        <v>91</v>
      </c>
      <c r="F62" s="81">
        <v>23.82198952879581</v>
      </c>
      <c r="G62" s="81">
        <v>382</v>
      </c>
      <c r="H62" s="81" t="s">
        <v>432</v>
      </c>
    </row>
    <row r="63" spans="1:8" ht="15">
      <c r="A63" s="81" t="s">
        <v>232</v>
      </c>
      <c r="B63" s="81" t="s">
        <v>233</v>
      </c>
      <c r="C63" s="81">
        <v>949</v>
      </c>
      <c r="D63" s="81">
        <v>76.90437601296597</v>
      </c>
      <c r="E63" s="81">
        <v>285</v>
      </c>
      <c r="F63" s="81">
        <v>23.095623987034035</v>
      </c>
      <c r="G63" s="81">
        <v>1234</v>
      </c>
      <c r="H63" s="81" t="s">
        <v>432</v>
      </c>
    </row>
    <row r="64" spans="1:8" ht="15">
      <c r="A64" s="81" t="s">
        <v>234</v>
      </c>
      <c r="B64" s="81" t="s">
        <v>235</v>
      </c>
      <c r="C64" s="81">
        <v>297</v>
      </c>
      <c r="D64" s="81">
        <v>75.95907928388746</v>
      </c>
      <c r="E64" s="81">
        <v>94</v>
      </c>
      <c r="F64" s="81">
        <v>24.04092071611253</v>
      </c>
      <c r="G64" s="81">
        <v>391</v>
      </c>
      <c r="H64" s="81" t="s">
        <v>432</v>
      </c>
    </row>
    <row r="65" spans="1:8" ht="15">
      <c r="A65" s="81" t="s">
        <v>246</v>
      </c>
      <c r="B65" s="81" t="s">
        <v>247</v>
      </c>
      <c r="C65" s="81">
        <v>1451</v>
      </c>
      <c r="D65" s="81">
        <v>58.88798701298701</v>
      </c>
      <c r="E65" s="81">
        <v>1013</v>
      </c>
      <c r="F65" s="81">
        <v>41.11201298701299</v>
      </c>
      <c r="G65" s="81">
        <v>2464</v>
      </c>
      <c r="H65" s="81" t="s">
        <v>376</v>
      </c>
    </row>
    <row r="66" spans="1:8" ht="15">
      <c r="A66" s="81" t="s">
        <v>226</v>
      </c>
      <c r="B66" s="81" t="s">
        <v>227</v>
      </c>
      <c r="C66" s="81">
        <v>186</v>
      </c>
      <c r="D66" s="81">
        <v>67.88321167883211</v>
      </c>
      <c r="E66" s="81">
        <v>88</v>
      </c>
      <c r="F66" s="81">
        <v>32.11678832116788</v>
      </c>
      <c r="G66" s="81">
        <v>274</v>
      </c>
      <c r="H66" s="81" t="s">
        <v>432</v>
      </c>
    </row>
    <row r="67" spans="1:8" ht="15">
      <c r="A67" s="81" t="s">
        <v>190</v>
      </c>
      <c r="B67" s="81" t="s">
        <v>191</v>
      </c>
      <c r="C67" s="81">
        <v>1620</v>
      </c>
      <c r="D67" s="81">
        <v>56.28908964558721</v>
      </c>
      <c r="E67" s="81">
        <v>1258</v>
      </c>
      <c r="F67" s="81">
        <v>43.71091035441279</v>
      </c>
      <c r="G67" s="81">
        <v>2878</v>
      </c>
      <c r="H67" s="81" t="s">
        <v>425</v>
      </c>
    </row>
    <row r="68" spans="1:8" ht="15">
      <c r="A68" s="81" t="s">
        <v>266</v>
      </c>
      <c r="B68" s="81" t="s">
        <v>267</v>
      </c>
      <c r="C68" s="81">
        <v>14</v>
      </c>
      <c r="D68" s="81">
        <v>53.84615384615385</v>
      </c>
      <c r="E68" s="81">
        <v>12</v>
      </c>
      <c r="F68" s="81">
        <v>46.15384615384615</v>
      </c>
      <c r="G68" s="81">
        <v>26</v>
      </c>
      <c r="H68" s="81" t="s">
        <v>376</v>
      </c>
    </row>
    <row r="69" spans="1:8" ht="15">
      <c r="A69" s="81" t="s">
        <v>344</v>
      </c>
      <c r="B69" s="81" t="s">
        <v>345</v>
      </c>
      <c r="C69" s="81">
        <v>2</v>
      </c>
      <c r="D69" s="81">
        <v>22.22222222222222</v>
      </c>
      <c r="E69" s="81">
        <v>7</v>
      </c>
      <c r="F69" s="81">
        <v>77.77777777777777</v>
      </c>
      <c r="G69" s="81">
        <v>9</v>
      </c>
      <c r="H69" s="81" t="s">
        <v>443</v>
      </c>
    </row>
    <row r="70" spans="1:8" ht="15">
      <c r="A70" s="81" t="s">
        <v>346</v>
      </c>
      <c r="B70" s="81" t="s">
        <v>347</v>
      </c>
      <c r="C70" s="81">
        <v>29</v>
      </c>
      <c r="D70" s="81">
        <v>50.87719298245614</v>
      </c>
      <c r="E70" s="81">
        <v>28</v>
      </c>
      <c r="F70" s="81">
        <v>49.12280701754386</v>
      </c>
      <c r="G70" s="81">
        <v>57</v>
      </c>
      <c r="H70" s="81" t="s">
        <v>443</v>
      </c>
    </row>
    <row r="71" spans="1:8" ht="15">
      <c r="A71" s="81" t="s">
        <v>328</v>
      </c>
      <c r="B71" s="81" t="s">
        <v>329</v>
      </c>
      <c r="C71" s="81">
        <v>47</v>
      </c>
      <c r="D71" s="81">
        <v>53.40909090909091</v>
      </c>
      <c r="E71" s="81">
        <v>41</v>
      </c>
      <c r="F71" s="81">
        <v>46.59090909090909</v>
      </c>
      <c r="G71" s="81">
        <v>88</v>
      </c>
      <c r="H71" s="81" t="s">
        <v>402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140625" style="82" bestFit="1" customWidth="1"/>
    <col min="2" max="2" width="10.00390625" style="82" bestFit="1" customWidth="1"/>
    <col min="3" max="3" width="10.57421875" style="82" bestFit="1" customWidth="1"/>
    <col min="4" max="4" width="10.140625" style="82" bestFit="1" customWidth="1"/>
    <col min="5" max="5" width="10.7109375" style="82" bestFit="1" customWidth="1"/>
    <col min="6" max="6" width="7.421875" style="82" bestFit="1" customWidth="1"/>
    <col min="7" max="7" width="10.7109375" style="82" bestFit="1" customWidth="1"/>
    <col min="8" max="16384" width="9.140625" style="82" customWidth="1"/>
  </cols>
  <sheetData>
    <row r="1" spans="1:7" ht="15">
      <c r="A1" s="81" t="s">
        <v>351</v>
      </c>
      <c r="B1" s="81" t="s">
        <v>524</v>
      </c>
      <c r="C1" s="81" t="s">
        <v>525</v>
      </c>
      <c r="D1" s="81" t="s">
        <v>526</v>
      </c>
      <c r="E1" s="81" t="s">
        <v>527</v>
      </c>
      <c r="F1" s="81" t="s">
        <v>528</v>
      </c>
      <c r="G1" s="81" t="s">
        <v>529</v>
      </c>
    </row>
    <row r="2" spans="1:7" ht="15">
      <c r="A2" s="81" t="s">
        <v>320</v>
      </c>
      <c r="B2" s="81">
        <v>0</v>
      </c>
      <c r="C2" s="81">
        <v>0</v>
      </c>
      <c r="D2" s="81">
        <v>0</v>
      </c>
      <c r="E2" s="81">
        <v>0</v>
      </c>
      <c r="F2" s="81">
        <v>0</v>
      </c>
      <c r="G2" s="81">
        <v>0</v>
      </c>
    </row>
    <row r="3" spans="1:7" ht="15">
      <c r="A3" s="81" t="s">
        <v>322</v>
      </c>
      <c r="B3" s="81">
        <v>0</v>
      </c>
      <c r="C3" s="81">
        <v>2</v>
      </c>
      <c r="D3" s="81">
        <v>0</v>
      </c>
      <c r="E3" s="81">
        <v>-2</v>
      </c>
      <c r="F3" s="81">
        <v>0</v>
      </c>
      <c r="G3" s="81">
        <v>0</v>
      </c>
    </row>
    <row r="4" spans="1:7" ht="15">
      <c r="A4" s="81" t="s">
        <v>324</v>
      </c>
      <c r="B4" s="81">
        <v>2</v>
      </c>
      <c r="C4" s="81">
        <v>-1</v>
      </c>
      <c r="D4" s="81">
        <v>0</v>
      </c>
      <c r="E4" s="81">
        <v>2</v>
      </c>
      <c r="F4" s="81">
        <v>-3</v>
      </c>
      <c r="G4" s="81">
        <v>0</v>
      </c>
    </row>
    <row r="5" spans="1:7" ht="15">
      <c r="A5" s="81" t="s">
        <v>326</v>
      </c>
      <c r="B5" s="81">
        <v>3</v>
      </c>
      <c r="C5" s="81">
        <v>0</v>
      </c>
      <c r="D5" s="81">
        <v>0</v>
      </c>
      <c r="E5" s="81">
        <v>-1</v>
      </c>
      <c r="F5" s="81">
        <v>-2</v>
      </c>
      <c r="G5" s="81">
        <v>0</v>
      </c>
    </row>
    <row r="6" spans="1:7" ht="15">
      <c r="A6" s="81" t="s">
        <v>249</v>
      </c>
      <c r="B6" s="81">
        <v>5</v>
      </c>
      <c r="C6" s="81">
        <v>1</v>
      </c>
      <c r="D6" s="81">
        <v>3</v>
      </c>
      <c r="E6" s="81">
        <v>-2</v>
      </c>
      <c r="F6" s="81">
        <v>-7</v>
      </c>
      <c r="G6" s="81">
        <v>0</v>
      </c>
    </row>
    <row r="7" spans="1:7" ht="15">
      <c r="A7" s="81" t="s">
        <v>251</v>
      </c>
      <c r="B7" s="81">
        <v>0</v>
      </c>
      <c r="C7" s="81">
        <v>1</v>
      </c>
      <c r="D7" s="81">
        <v>2</v>
      </c>
      <c r="E7" s="81">
        <v>-1</v>
      </c>
      <c r="F7" s="81">
        <v>-2</v>
      </c>
      <c r="G7" s="81">
        <v>0</v>
      </c>
    </row>
    <row r="8" spans="1:7" ht="15">
      <c r="A8" s="81" t="s">
        <v>253</v>
      </c>
      <c r="B8" s="81">
        <v>1</v>
      </c>
      <c r="C8" s="81">
        <v>0</v>
      </c>
      <c r="D8" s="81">
        <v>-1</v>
      </c>
      <c r="E8" s="81">
        <v>0</v>
      </c>
      <c r="F8" s="81">
        <v>0</v>
      </c>
      <c r="G8" s="81">
        <v>0</v>
      </c>
    </row>
    <row r="9" spans="1:7" ht="15">
      <c r="A9" s="81" t="s">
        <v>306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</row>
    <row r="10" spans="1:7" ht="15">
      <c r="A10" s="81" t="s">
        <v>296</v>
      </c>
      <c r="B10" s="81">
        <v>0</v>
      </c>
      <c r="C10" s="81">
        <v>0</v>
      </c>
      <c r="D10" s="81">
        <v>9</v>
      </c>
      <c r="E10" s="81">
        <v>1</v>
      </c>
      <c r="F10" s="81">
        <v>-10</v>
      </c>
      <c r="G10" s="81">
        <v>0</v>
      </c>
    </row>
    <row r="11" spans="1:7" ht="15">
      <c r="A11" s="81" t="s">
        <v>298</v>
      </c>
      <c r="B11" s="81">
        <v>2</v>
      </c>
      <c r="C11" s="81">
        <v>0</v>
      </c>
      <c r="D11" s="81">
        <v>5</v>
      </c>
      <c r="E11" s="81">
        <v>-2</v>
      </c>
      <c r="F11" s="81">
        <v>-5</v>
      </c>
      <c r="G11" s="81">
        <v>0</v>
      </c>
    </row>
    <row r="12" spans="1:7" ht="15">
      <c r="A12" s="81" t="s">
        <v>300</v>
      </c>
      <c r="B12" s="81">
        <v>10</v>
      </c>
      <c r="C12" s="81">
        <v>0</v>
      </c>
      <c r="D12" s="81">
        <v>-10</v>
      </c>
      <c r="E12" s="81">
        <v>-3</v>
      </c>
      <c r="F12" s="81">
        <v>3</v>
      </c>
      <c r="G12" s="81">
        <v>0</v>
      </c>
    </row>
    <row r="13" spans="1:7" ht="15">
      <c r="A13" s="81" t="s">
        <v>302</v>
      </c>
      <c r="B13" s="81">
        <v>-5</v>
      </c>
      <c r="C13" s="81">
        <v>1</v>
      </c>
      <c r="D13" s="81">
        <v>-1</v>
      </c>
      <c r="E13" s="81">
        <v>0</v>
      </c>
      <c r="F13" s="81">
        <v>5</v>
      </c>
      <c r="G13" s="81">
        <v>0</v>
      </c>
    </row>
    <row r="14" spans="1:7" ht="15">
      <c r="A14" s="81" t="s">
        <v>238</v>
      </c>
      <c r="B14" s="81">
        <v>2</v>
      </c>
      <c r="C14" s="81">
        <v>7</v>
      </c>
      <c r="D14" s="81">
        <v>-19</v>
      </c>
      <c r="E14" s="81">
        <v>5</v>
      </c>
      <c r="F14" s="81">
        <v>5</v>
      </c>
      <c r="G14" s="81">
        <v>0</v>
      </c>
    </row>
    <row r="15" spans="1:7" ht="15">
      <c r="A15" s="81" t="s">
        <v>242</v>
      </c>
      <c r="B15" s="81">
        <v>6</v>
      </c>
      <c r="C15" s="81">
        <v>-7</v>
      </c>
      <c r="D15" s="81">
        <v>0</v>
      </c>
      <c r="E15" s="81">
        <v>8</v>
      </c>
      <c r="F15" s="81">
        <v>-7</v>
      </c>
      <c r="G15" s="81">
        <v>0</v>
      </c>
    </row>
    <row r="16" spans="1:7" ht="15">
      <c r="A16" s="81" t="s">
        <v>244</v>
      </c>
      <c r="B16" s="81">
        <v>-8</v>
      </c>
      <c r="C16" s="81">
        <v>-1</v>
      </c>
      <c r="D16" s="81">
        <v>-1</v>
      </c>
      <c r="E16" s="81">
        <v>13</v>
      </c>
      <c r="F16" s="81">
        <v>-3</v>
      </c>
      <c r="G16" s="81">
        <v>0</v>
      </c>
    </row>
    <row r="17" spans="1:7" ht="15">
      <c r="A17" s="81" t="s">
        <v>273</v>
      </c>
      <c r="B17" s="81">
        <v>5</v>
      </c>
      <c r="C17" s="81">
        <v>11</v>
      </c>
      <c r="D17" s="81">
        <v>-10</v>
      </c>
      <c r="E17" s="81">
        <v>3</v>
      </c>
      <c r="F17" s="81">
        <v>-9</v>
      </c>
      <c r="G17" s="81">
        <v>0</v>
      </c>
    </row>
    <row r="18" spans="1:7" ht="15">
      <c r="A18" s="81" t="s">
        <v>282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</row>
    <row r="19" spans="1:7" ht="15">
      <c r="A19" s="81" t="s">
        <v>240</v>
      </c>
      <c r="B19" s="81">
        <v>4</v>
      </c>
      <c r="C19" s="81">
        <v>1</v>
      </c>
      <c r="D19" s="81">
        <v>5</v>
      </c>
      <c r="E19" s="81">
        <v>0</v>
      </c>
      <c r="F19" s="81">
        <v>-10</v>
      </c>
      <c r="G19" s="81">
        <v>0</v>
      </c>
    </row>
    <row r="20" spans="1:7" ht="15">
      <c r="A20" s="81" t="s">
        <v>269</v>
      </c>
      <c r="B20" s="81">
        <v>2</v>
      </c>
      <c r="C20" s="81">
        <v>1</v>
      </c>
      <c r="D20" s="81">
        <v>0</v>
      </c>
      <c r="E20" s="81">
        <v>2</v>
      </c>
      <c r="F20" s="81">
        <v>-5</v>
      </c>
      <c r="G20" s="81">
        <v>0</v>
      </c>
    </row>
    <row r="21" spans="1:7" ht="15">
      <c r="A21" s="81" t="s">
        <v>275</v>
      </c>
      <c r="B21" s="81">
        <v>3</v>
      </c>
      <c r="C21" s="81">
        <v>-6</v>
      </c>
      <c r="D21" s="81">
        <v>4</v>
      </c>
      <c r="E21" s="81">
        <v>-1</v>
      </c>
      <c r="F21" s="81">
        <v>-1</v>
      </c>
      <c r="G21" s="81">
        <v>1</v>
      </c>
    </row>
    <row r="22" spans="1:7" ht="15">
      <c r="A22" s="81" t="s">
        <v>284</v>
      </c>
      <c r="B22" s="81">
        <v>10</v>
      </c>
      <c r="C22" s="81">
        <v>-1</v>
      </c>
      <c r="D22" s="81">
        <v>0</v>
      </c>
      <c r="E22" s="81">
        <v>-7</v>
      </c>
      <c r="F22" s="81">
        <v>-2</v>
      </c>
      <c r="G22" s="81">
        <v>0</v>
      </c>
    </row>
    <row r="23" spans="1:7" ht="15">
      <c r="A23" s="81" t="s">
        <v>286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</row>
    <row r="24" spans="1:7" ht="15">
      <c r="A24" s="81" t="s">
        <v>335</v>
      </c>
      <c r="B24" s="81">
        <v>0</v>
      </c>
      <c r="C24" s="81">
        <v>0</v>
      </c>
      <c r="D24" s="81">
        <v>0</v>
      </c>
      <c r="E24" s="81">
        <v>-1</v>
      </c>
      <c r="F24" s="81">
        <v>1</v>
      </c>
      <c r="G24" s="81">
        <v>0</v>
      </c>
    </row>
    <row r="25" spans="1:7" ht="15">
      <c r="A25" s="81" t="s">
        <v>288</v>
      </c>
      <c r="B25" s="81">
        <v>1</v>
      </c>
      <c r="C25" s="81">
        <v>0</v>
      </c>
      <c r="D25" s="81">
        <v>0</v>
      </c>
      <c r="E25" s="81">
        <v>-1</v>
      </c>
      <c r="F25" s="81">
        <v>0</v>
      </c>
      <c r="G25" s="81">
        <v>0</v>
      </c>
    </row>
    <row r="26" spans="1:7" ht="15">
      <c r="A26" s="81" t="s">
        <v>290</v>
      </c>
      <c r="B26" s="81">
        <v>-24</v>
      </c>
      <c r="C26" s="81">
        <v>28</v>
      </c>
      <c r="D26" s="81">
        <v>1</v>
      </c>
      <c r="E26" s="81">
        <v>-15</v>
      </c>
      <c r="F26" s="81">
        <v>10</v>
      </c>
      <c r="G26" s="81">
        <v>0</v>
      </c>
    </row>
    <row r="27" spans="1:7" ht="15">
      <c r="A27" s="81" t="s">
        <v>337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ht="15">
      <c r="A28" s="81" t="s">
        <v>331</v>
      </c>
      <c r="B28" s="81">
        <v>1</v>
      </c>
      <c r="C28" s="81">
        <v>1</v>
      </c>
      <c r="D28" s="81">
        <v>7</v>
      </c>
      <c r="E28" s="81">
        <v>1</v>
      </c>
      <c r="F28" s="81">
        <v>-10</v>
      </c>
      <c r="G28" s="81">
        <v>0</v>
      </c>
    </row>
    <row r="29" spans="1:7" ht="15">
      <c r="A29" s="81" t="s">
        <v>255</v>
      </c>
      <c r="B29" s="81">
        <v>-1</v>
      </c>
      <c r="C29" s="81">
        <v>0</v>
      </c>
      <c r="D29" s="81">
        <v>3</v>
      </c>
      <c r="E29" s="81">
        <v>0</v>
      </c>
      <c r="F29" s="81">
        <v>-2</v>
      </c>
      <c r="G29" s="81">
        <v>0</v>
      </c>
    </row>
    <row r="30" spans="1:7" ht="15">
      <c r="A30" s="81" t="s">
        <v>257</v>
      </c>
      <c r="B30" s="81">
        <v>1</v>
      </c>
      <c r="C30" s="81">
        <v>0</v>
      </c>
      <c r="D30" s="81">
        <v>0</v>
      </c>
      <c r="E30" s="81">
        <v>0</v>
      </c>
      <c r="F30" s="81">
        <v>-1</v>
      </c>
      <c r="G30" s="81">
        <v>0</v>
      </c>
    </row>
    <row r="31" spans="1:7" ht="15">
      <c r="A31" s="81" t="s">
        <v>259</v>
      </c>
      <c r="B31" s="81">
        <v>0</v>
      </c>
      <c r="C31" s="81">
        <v>0</v>
      </c>
      <c r="D31" s="81">
        <v>1</v>
      </c>
      <c r="E31" s="81">
        <v>0</v>
      </c>
      <c r="F31" s="81">
        <v>-1</v>
      </c>
      <c r="G31" s="81">
        <v>0</v>
      </c>
    </row>
    <row r="32" spans="1:7" ht="15">
      <c r="A32" s="81" t="s">
        <v>261</v>
      </c>
      <c r="B32" s="81">
        <v>0</v>
      </c>
      <c r="C32" s="81">
        <v>0</v>
      </c>
      <c r="D32" s="81">
        <v>2</v>
      </c>
      <c r="E32" s="81">
        <v>0</v>
      </c>
      <c r="F32" s="81">
        <v>-2</v>
      </c>
      <c r="G32" s="81">
        <v>0</v>
      </c>
    </row>
    <row r="33" spans="1:7" ht="15">
      <c r="A33" s="81" t="s">
        <v>263</v>
      </c>
      <c r="B33" s="81">
        <v>1</v>
      </c>
      <c r="C33" s="81">
        <v>0</v>
      </c>
      <c r="D33" s="81">
        <v>0</v>
      </c>
      <c r="E33" s="81">
        <v>0</v>
      </c>
      <c r="F33" s="81">
        <v>-1</v>
      </c>
      <c r="G33" s="81">
        <v>0</v>
      </c>
    </row>
    <row r="34" spans="1:7" ht="15">
      <c r="A34" s="81" t="s">
        <v>265</v>
      </c>
      <c r="B34" s="81">
        <v>-3</v>
      </c>
      <c r="C34" s="81">
        <v>1</v>
      </c>
      <c r="D34" s="81">
        <v>2</v>
      </c>
      <c r="E34" s="81">
        <v>0</v>
      </c>
      <c r="F34" s="81">
        <v>0</v>
      </c>
      <c r="G34" s="81">
        <v>0</v>
      </c>
    </row>
    <row r="35" spans="1:7" ht="15">
      <c r="A35" s="81" t="s">
        <v>280</v>
      </c>
      <c r="B35" s="81">
        <v>2</v>
      </c>
      <c r="C35" s="81">
        <v>0</v>
      </c>
      <c r="D35" s="81">
        <v>0</v>
      </c>
      <c r="E35" s="81">
        <v>-2</v>
      </c>
      <c r="F35" s="81">
        <v>-2</v>
      </c>
      <c r="G35" s="81">
        <v>2</v>
      </c>
    </row>
    <row r="36" spans="1:7" ht="15">
      <c r="A36" s="81" t="s">
        <v>308</v>
      </c>
      <c r="B36" s="81">
        <v>0</v>
      </c>
      <c r="C36" s="81">
        <v>-1</v>
      </c>
      <c r="D36" s="81">
        <v>13</v>
      </c>
      <c r="E36" s="81">
        <v>-4</v>
      </c>
      <c r="F36" s="81">
        <v>-8</v>
      </c>
      <c r="G36" s="81">
        <v>0</v>
      </c>
    </row>
    <row r="37" spans="1:7" ht="15">
      <c r="A37" s="81" t="s">
        <v>310</v>
      </c>
      <c r="B37" s="81">
        <v>-23</v>
      </c>
      <c r="C37" s="81">
        <v>1</v>
      </c>
      <c r="D37" s="81">
        <v>22</v>
      </c>
      <c r="E37" s="81">
        <v>0</v>
      </c>
      <c r="F37" s="81">
        <v>0</v>
      </c>
      <c r="G37" s="81">
        <v>0</v>
      </c>
    </row>
    <row r="38" spans="1:7" ht="15">
      <c r="A38" s="81" t="s">
        <v>271</v>
      </c>
      <c r="B38" s="81">
        <v>-2</v>
      </c>
      <c r="C38" s="81">
        <v>13</v>
      </c>
      <c r="D38" s="81">
        <v>0</v>
      </c>
      <c r="E38" s="81">
        <v>0</v>
      </c>
      <c r="F38" s="81">
        <v>-11</v>
      </c>
      <c r="G38" s="81">
        <v>0</v>
      </c>
    </row>
    <row r="39" spans="1:7" ht="15">
      <c r="A39" s="81" t="s">
        <v>314</v>
      </c>
      <c r="B39" s="81">
        <v>-2</v>
      </c>
      <c r="C39" s="81">
        <v>0</v>
      </c>
      <c r="D39" s="81">
        <v>2</v>
      </c>
      <c r="E39" s="81">
        <v>0</v>
      </c>
      <c r="F39" s="81">
        <v>0</v>
      </c>
      <c r="G39" s="81">
        <v>0</v>
      </c>
    </row>
    <row r="40" spans="1:7" ht="15">
      <c r="A40" s="81" t="s">
        <v>316</v>
      </c>
      <c r="B40" s="81">
        <v>-10</v>
      </c>
      <c r="C40" s="81">
        <v>1</v>
      </c>
      <c r="D40" s="81">
        <v>5</v>
      </c>
      <c r="E40" s="81">
        <v>-2</v>
      </c>
      <c r="F40" s="81">
        <v>5</v>
      </c>
      <c r="G40" s="81">
        <v>1</v>
      </c>
    </row>
    <row r="41" spans="1:7" ht="15">
      <c r="A41" s="81" t="s">
        <v>333</v>
      </c>
      <c r="B41" s="81">
        <v>2</v>
      </c>
      <c r="C41" s="81">
        <v>0</v>
      </c>
      <c r="D41" s="81">
        <v>9</v>
      </c>
      <c r="E41" s="81">
        <v>0</v>
      </c>
      <c r="F41" s="81">
        <v>-11</v>
      </c>
      <c r="G41" s="81">
        <v>0</v>
      </c>
    </row>
    <row r="42" spans="1:7" ht="15">
      <c r="A42" s="81" t="s">
        <v>187</v>
      </c>
      <c r="B42" s="81">
        <v>-66</v>
      </c>
      <c r="C42" s="81">
        <v>4</v>
      </c>
      <c r="D42" s="81">
        <v>52</v>
      </c>
      <c r="E42" s="81">
        <v>16</v>
      </c>
      <c r="F42" s="81">
        <v>-6</v>
      </c>
      <c r="G42" s="81">
        <v>0</v>
      </c>
    </row>
    <row r="43" spans="1:7" ht="15">
      <c r="A43" s="81" t="s">
        <v>195</v>
      </c>
      <c r="B43" s="81">
        <v>-42</v>
      </c>
      <c r="C43" s="81">
        <v>47</v>
      </c>
      <c r="D43" s="81">
        <v>0</v>
      </c>
      <c r="E43" s="81">
        <v>3</v>
      </c>
      <c r="F43" s="81">
        <v>-8</v>
      </c>
      <c r="G43" s="81">
        <v>0</v>
      </c>
    </row>
    <row r="44" spans="1:7" ht="15">
      <c r="A44" s="81" t="s">
        <v>201</v>
      </c>
      <c r="B44" s="81">
        <v>-7</v>
      </c>
      <c r="C44" s="81">
        <v>2</v>
      </c>
      <c r="D44" s="81">
        <v>3</v>
      </c>
      <c r="E44" s="81">
        <v>3</v>
      </c>
      <c r="F44" s="81">
        <v>-1</v>
      </c>
      <c r="G44" s="81">
        <v>0</v>
      </c>
    </row>
    <row r="45" spans="1:7" ht="15">
      <c r="A45" s="81" t="s">
        <v>207</v>
      </c>
      <c r="B45" s="81">
        <v>-13</v>
      </c>
      <c r="C45" s="81">
        <v>17</v>
      </c>
      <c r="D45" s="81">
        <v>62</v>
      </c>
      <c r="E45" s="81">
        <v>15</v>
      </c>
      <c r="F45" s="81">
        <v>-81</v>
      </c>
      <c r="G45" s="81">
        <v>0</v>
      </c>
    </row>
    <row r="46" spans="1:7" ht="15">
      <c r="A46" s="81" t="s">
        <v>213</v>
      </c>
      <c r="B46" s="81">
        <v>4</v>
      </c>
      <c r="C46" s="81">
        <v>4</v>
      </c>
      <c r="D46" s="81">
        <v>0</v>
      </c>
      <c r="E46" s="81">
        <v>1</v>
      </c>
      <c r="F46" s="81">
        <v>-9</v>
      </c>
      <c r="G46" s="81">
        <v>0</v>
      </c>
    </row>
    <row r="47" spans="1:7" ht="15">
      <c r="A47" s="81" t="s">
        <v>215</v>
      </c>
      <c r="B47" s="81">
        <v>-34</v>
      </c>
      <c r="C47" s="81">
        <v>3</v>
      </c>
      <c r="D47" s="81">
        <v>1</v>
      </c>
      <c r="E47" s="81">
        <v>7</v>
      </c>
      <c r="F47" s="81">
        <v>23</v>
      </c>
      <c r="G47" s="81">
        <v>0</v>
      </c>
    </row>
    <row r="48" spans="1:7" ht="15">
      <c r="A48" s="81" t="s">
        <v>209</v>
      </c>
      <c r="B48" s="81">
        <v>0</v>
      </c>
      <c r="C48" s="81">
        <v>1</v>
      </c>
      <c r="D48" s="81">
        <v>-6</v>
      </c>
      <c r="E48" s="81">
        <v>-1</v>
      </c>
      <c r="F48" s="81">
        <v>6</v>
      </c>
      <c r="G48" s="81">
        <v>0</v>
      </c>
    </row>
    <row r="49" spans="1:7" ht="15">
      <c r="A49" s="81" t="s">
        <v>189</v>
      </c>
      <c r="B49" s="81">
        <v>-4</v>
      </c>
      <c r="C49" s="81">
        <v>12</v>
      </c>
      <c r="D49" s="81">
        <v>42</v>
      </c>
      <c r="E49" s="81">
        <v>-2</v>
      </c>
      <c r="F49" s="81">
        <v>-48</v>
      </c>
      <c r="G49" s="81">
        <v>0</v>
      </c>
    </row>
    <row r="50" spans="1:7" ht="15">
      <c r="A50" s="81" t="s">
        <v>197</v>
      </c>
      <c r="B50" s="81">
        <v>-56</v>
      </c>
      <c r="C50" s="81">
        <v>101</v>
      </c>
      <c r="D50" s="81">
        <v>0</v>
      </c>
      <c r="E50" s="81">
        <v>15</v>
      </c>
      <c r="F50" s="81">
        <v>-61</v>
      </c>
      <c r="G50" s="81">
        <v>1</v>
      </c>
    </row>
    <row r="51" spans="1:7" ht="15">
      <c r="A51" s="81" t="s">
        <v>203</v>
      </c>
      <c r="B51" s="81">
        <v>58</v>
      </c>
      <c r="C51" s="81">
        <v>3</v>
      </c>
      <c r="D51" s="81">
        <v>9</v>
      </c>
      <c r="E51" s="81">
        <v>-4</v>
      </c>
      <c r="F51" s="81">
        <v>-66</v>
      </c>
      <c r="G51" s="81">
        <v>0</v>
      </c>
    </row>
    <row r="52" spans="1:7" ht="15">
      <c r="A52" s="81" t="s">
        <v>217</v>
      </c>
      <c r="B52" s="81">
        <v>-61</v>
      </c>
      <c r="C52" s="81">
        <v>38</v>
      </c>
      <c r="D52" s="81">
        <v>2</v>
      </c>
      <c r="E52" s="81">
        <v>11</v>
      </c>
      <c r="F52" s="81">
        <v>10</v>
      </c>
      <c r="G52" s="81">
        <v>0</v>
      </c>
    </row>
    <row r="53" spans="1:7" ht="15">
      <c r="A53" s="81" t="s">
        <v>221</v>
      </c>
      <c r="B53" s="81">
        <v>-261</v>
      </c>
      <c r="C53" s="81">
        <v>16</v>
      </c>
      <c r="D53" s="81">
        <v>0</v>
      </c>
      <c r="E53" s="81">
        <v>90</v>
      </c>
      <c r="F53" s="81">
        <v>155</v>
      </c>
      <c r="G53" s="81">
        <v>0</v>
      </c>
    </row>
    <row r="54" spans="1:7" ht="15">
      <c r="A54" s="81" t="s">
        <v>193</v>
      </c>
      <c r="B54" s="81">
        <v>-6</v>
      </c>
      <c r="C54" s="81">
        <v>10</v>
      </c>
      <c r="D54" s="81">
        <v>0</v>
      </c>
      <c r="E54" s="81">
        <v>-11</v>
      </c>
      <c r="F54" s="81">
        <v>7</v>
      </c>
      <c r="G54" s="81">
        <v>0</v>
      </c>
    </row>
    <row r="55" spans="1:7" ht="15">
      <c r="A55" s="81" t="s">
        <v>199</v>
      </c>
      <c r="B55" s="81">
        <v>-12</v>
      </c>
      <c r="C55" s="81">
        <v>3</v>
      </c>
      <c r="D55" s="81">
        <v>0</v>
      </c>
      <c r="E55" s="81">
        <v>12</v>
      </c>
      <c r="F55" s="81">
        <v>-3</v>
      </c>
      <c r="G55" s="81">
        <v>0</v>
      </c>
    </row>
    <row r="56" spans="1:7" ht="15">
      <c r="A56" s="81" t="s">
        <v>205</v>
      </c>
      <c r="B56" s="81">
        <v>18</v>
      </c>
      <c r="C56" s="81">
        <v>-6</v>
      </c>
      <c r="D56" s="81">
        <v>-30</v>
      </c>
      <c r="E56" s="81">
        <v>-9</v>
      </c>
      <c r="F56" s="81">
        <v>26</v>
      </c>
      <c r="G56" s="81">
        <v>1</v>
      </c>
    </row>
    <row r="57" spans="1:7" ht="15">
      <c r="A57" s="81" t="s">
        <v>211</v>
      </c>
      <c r="B57" s="81">
        <v>-7</v>
      </c>
      <c r="C57" s="81">
        <v>-2</v>
      </c>
      <c r="D57" s="81">
        <v>50</v>
      </c>
      <c r="E57" s="81">
        <v>-4</v>
      </c>
      <c r="F57" s="81">
        <v>-37</v>
      </c>
      <c r="G57" s="81">
        <v>0</v>
      </c>
    </row>
    <row r="58" spans="1:7" ht="15">
      <c r="A58" s="81" t="s">
        <v>219</v>
      </c>
      <c r="B58" s="81">
        <v>5</v>
      </c>
      <c r="C58" s="81">
        <v>4</v>
      </c>
      <c r="D58" s="81">
        <v>1</v>
      </c>
      <c r="E58" s="81">
        <v>-11</v>
      </c>
      <c r="F58" s="81">
        <v>1</v>
      </c>
      <c r="G58" s="81">
        <v>0</v>
      </c>
    </row>
    <row r="59" spans="1:7" ht="15">
      <c r="A59" s="81" t="s">
        <v>225</v>
      </c>
      <c r="B59" s="81">
        <v>-2</v>
      </c>
      <c r="C59" s="81">
        <v>-1</v>
      </c>
      <c r="D59" s="81">
        <v>3</v>
      </c>
      <c r="E59" s="81">
        <v>2</v>
      </c>
      <c r="F59" s="81">
        <v>-2</v>
      </c>
      <c r="G59" s="81">
        <v>0</v>
      </c>
    </row>
    <row r="60" spans="1:7" ht="15">
      <c r="A60" s="81" t="s">
        <v>223</v>
      </c>
      <c r="B60" s="81">
        <v>-155</v>
      </c>
      <c r="C60" s="81">
        <v>11</v>
      </c>
      <c r="D60" s="81">
        <v>0</v>
      </c>
      <c r="E60" s="81">
        <v>56</v>
      </c>
      <c r="F60" s="81">
        <v>87</v>
      </c>
      <c r="G60" s="81">
        <v>1</v>
      </c>
    </row>
    <row r="61" spans="1:7" ht="15">
      <c r="A61" s="81" t="s">
        <v>229</v>
      </c>
      <c r="B61" s="81">
        <v>26</v>
      </c>
      <c r="C61" s="81">
        <v>-7</v>
      </c>
      <c r="D61" s="81">
        <v>-5</v>
      </c>
      <c r="E61" s="81">
        <v>-14</v>
      </c>
      <c r="F61" s="81">
        <v>0</v>
      </c>
      <c r="G61" s="81">
        <v>0</v>
      </c>
    </row>
    <row r="62" spans="1:7" ht="15">
      <c r="A62" s="81" t="s">
        <v>231</v>
      </c>
      <c r="B62" s="81">
        <v>-7</v>
      </c>
      <c r="C62" s="81">
        <v>1</v>
      </c>
      <c r="D62" s="81">
        <v>12</v>
      </c>
      <c r="E62" s="81">
        <v>-4</v>
      </c>
      <c r="F62" s="81">
        <v>-2</v>
      </c>
      <c r="G62" s="81">
        <v>0</v>
      </c>
    </row>
    <row r="63" spans="1:7" ht="15">
      <c r="A63" s="81" t="s">
        <v>233</v>
      </c>
      <c r="B63" s="81">
        <v>26</v>
      </c>
      <c r="C63" s="81">
        <v>-29</v>
      </c>
      <c r="D63" s="81">
        <v>0</v>
      </c>
      <c r="E63" s="81">
        <v>9</v>
      </c>
      <c r="F63" s="81">
        <v>-6</v>
      </c>
      <c r="G63" s="81">
        <v>0</v>
      </c>
    </row>
    <row r="64" spans="1:7" ht="15">
      <c r="A64" s="81" t="s">
        <v>235</v>
      </c>
      <c r="B64" s="81">
        <v>13</v>
      </c>
      <c r="C64" s="81">
        <v>-5</v>
      </c>
      <c r="D64" s="81">
        <v>-5</v>
      </c>
      <c r="E64" s="81">
        <v>-5</v>
      </c>
      <c r="F64" s="81">
        <v>2</v>
      </c>
      <c r="G64" s="81">
        <v>0</v>
      </c>
    </row>
    <row r="65" spans="1:7" ht="15">
      <c r="A65" s="81" t="s">
        <v>247</v>
      </c>
      <c r="B65" s="81">
        <v>-28</v>
      </c>
      <c r="C65" s="81">
        <v>5</v>
      </c>
      <c r="D65" s="81">
        <v>-16</v>
      </c>
      <c r="E65" s="81">
        <v>-3</v>
      </c>
      <c r="F65" s="81">
        <v>42</v>
      </c>
      <c r="G65" s="81">
        <v>0</v>
      </c>
    </row>
    <row r="66" spans="1:7" ht="15">
      <c r="A66" s="81" t="s">
        <v>227</v>
      </c>
      <c r="B66" s="81">
        <v>2</v>
      </c>
      <c r="C66" s="81">
        <v>-3</v>
      </c>
      <c r="D66" s="81">
        <v>4</v>
      </c>
      <c r="E66" s="81">
        <v>-2</v>
      </c>
      <c r="F66" s="81">
        <v>-1</v>
      </c>
      <c r="G66" s="81">
        <v>0</v>
      </c>
    </row>
    <row r="67" spans="1:7" ht="15">
      <c r="A67" s="81" t="s">
        <v>191</v>
      </c>
      <c r="B67" s="81">
        <v>69</v>
      </c>
      <c r="C67" s="81">
        <v>1</v>
      </c>
      <c r="D67" s="81">
        <v>64</v>
      </c>
      <c r="E67" s="81">
        <v>5</v>
      </c>
      <c r="F67" s="81">
        <v>-139</v>
      </c>
      <c r="G67" s="81">
        <v>0</v>
      </c>
    </row>
    <row r="68" spans="1:7" ht="15">
      <c r="A68" s="81" t="s">
        <v>267</v>
      </c>
      <c r="B68" s="81">
        <v>1</v>
      </c>
      <c r="C68" s="81">
        <v>-1</v>
      </c>
      <c r="D68" s="81">
        <v>5</v>
      </c>
      <c r="E68" s="81">
        <v>0</v>
      </c>
      <c r="F68" s="81">
        <v>-5</v>
      </c>
      <c r="G68" s="81">
        <v>0</v>
      </c>
    </row>
    <row r="69" spans="1:7" ht="15">
      <c r="A69" s="81" t="s">
        <v>345</v>
      </c>
      <c r="B69" s="81">
        <v>0</v>
      </c>
      <c r="C69" s="81">
        <v>-1</v>
      </c>
      <c r="D69" s="81">
        <v>1</v>
      </c>
      <c r="E69" s="81">
        <v>-1</v>
      </c>
      <c r="F69" s="81">
        <v>1</v>
      </c>
      <c r="G69" s="81">
        <v>0</v>
      </c>
    </row>
    <row r="70" spans="1:7" ht="15">
      <c r="A70" s="81" t="s">
        <v>347</v>
      </c>
      <c r="B70" s="81">
        <v>-2</v>
      </c>
      <c r="C70" s="81">
        <v>8</v>
      </c>
      <c r="D70" s="81">
        <v>-3</v>
      </c>
      <c r="E70" s="81">
        <v>-2</v>
      </c>
      <c r="F70" s="81">
        <v>-2</v>
      </c>
      <c r="G70" s="81">
        <v>1</v>
      </c>
    </row>
    <row r="71" spans="1:7" ht="15">
      <c r="A71" s="81" t="s">
        <v>329</v>
      </c>
      <c r="B71" s="81">
        <v>-2</v>
      </c>
      <c r="C71" s="81">
        <v>0</v>
      </c>
      <c r="D71" s="81">
        <v>1</v>
      </c>
      <c r="E71" s="81">
        <v>-2</v>
      </c>
      <c r="F71" s="81">
        <v>3</v>
      </c>
      <c r="G71" s="8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5"/>
  <sheetViews>
    <sheetView zoomScale="85" zoomScaleNormal="85" zoomScalePageLayoutView="0" workbookViewId="0" topLeftCell="A1">
      <pane ySplit="4" topLeftCell="A98" activePane="bottomLeft" state="frozen"/>
      <selection pane="topLeft" activeCell="A1" sqref="A1"/>
      <selection pane="bottomLeft" activeCell="A113" sqref="A113:W113"/>
    </sheetView>
  </sheetViews>
  <sheetFormatPr defaultColWidth="9.140625" defaultRowHeight="15"/>
  <cols>
    <col min="1" max="1" width="30.7109375" style="2" customWidth="1"/>
    <col min="2" max="2" width="8.28125" style="2" hidden="1" customWidth="1"/>
    <col min="3" max="3" width="18.421875" style="5" bestFit="1" customWidth="1"/>
    <col min="4" max="4" width="8.28125" style="5" hidden="1" customWidth="1"/>
    <col min="5" max="5" width="3.7109375" style="5" hidden="1" customWidth="1"/>
    <col min="6" max="6" width="8.28125" style="5" hidden="1" customWidth="1"/>
    <col min="7" max="7" width="13.140625" style="5" bestFit="1" customWidth="1"/>
    <col min="8" max="8" width="8.28125" style="5" hidden="1" customWidth="1"/>
    <col min="9" max="9" width="3.7109375" style="5" hidden="1" customWidth="1"/>
    <col min="10" max="10" width="17.00390625" style="5" hidden="1" customWidth="1"/>
    <col min="11" max="11" width="16.7109375" style="5" customWidth="1"/>
    <col min="12" max="12" width="8.28125" style="5" hidden="1" customWidth="1"/>
    <col min="13" max="13" width="3.7109375" style="5" hidden="1" customWidth="1"/>
    <col min="14" max="14" width="30.7109375" style="5" hidden="1" customWidth="1"/>
    <col min="15" max="15" width="16.7109375" style="5" customWidth="1"/>
    <col min="16" max="16" width="8.28125" style="5" hidden="1" customWidth="1"/>
    <col min="17" max="17" width="3.7109375" style="5" hidden="1" customWidth="1"/>
    <col min="18" max="18" width="30.7109375" style="5" hidden="1" customWidth="1"/>
    <col min="19" max="19" width="16.7109375" style="5" customWidth="1"/>
    <col min="20" max="20" width="8.28125" style="5" hidden="1" customWidth="1"/>
    <col min="21" max="21" width="4.7109375" style="5" hidden="1" customWidth="1"/>
    <col min="22" max="22" width="8.28125" style="5" hidden="1" customWidth="1"/>
    <col min="23" max="23" width="16.7109375" style="5" customWidth="1"/>
    <col min="24" max="16384" width="9.140625" style="11" customWidth="1"/>
  </cols>
  <sheetData>
    <row r="1" ht="19.5">
      <c r="A1" s="12" t="str">
        <f>"TABLE 3-5. Net Shifts in Resident Types Due to Transfer Activity by Permit Type, 1975-"&amp;TEXT(Sundry!B2,"0000")&amp;"*"</f>
        <v>TABLE 3-5. Net Shifts in Resident Types Due to Transfer Activity by Permit Type, 1975-2010*</v>
      </c>
    </row>
    <row r="3" spans="1:23" ht="30">
      <c r="A3" s="6"/>
      <c r="B3" s="6"/>
      <c r="C3" s="13" t="s">
        <v>179</v>
      </c>
      <c r="D3" s="13" t="s">
        <v>530</v>
      </c>
      <c r="E3" s="13"/>
      <c r="F3" s="13"/>
      <c r="G3" s="13" t="s">
        <v>180</v>
      </c>
      <c r="H3" s="13" t="s">
        <v>530</v>
      </c>
      <c r="I3" s="13"/>
      <c r="J3" s="13"/>
      <c r="K3" s="13" t="s">
        <v>181</v>
      </c>
      <c r="L3" s="13" t="s">
        <v>530</v>
      </c>
      <c r="M3" s="13"/>
      <c r="N3" s="13"/>
      <c r="O3" s="13" t="s">
        <v>182</v>
      </c>
      <c r="P3" s="13" t="s">
        <v>530</v>
      </c>
      <c r="Q3" s="13"/>
      <c r="R3" s="13"/>
      <c r="S3" s="13" t="s">
        <v>499</v>
      </c>
      <c r="T3" s="13" t="s">
        <v>530</v>
      </c>
      <c r="U3" s="13"/>
      <c r="V3" s="13"/>
      <c r="W3" s="13" t="s">
        <v>500</v>
      </c>
    </row>
    <row r="5" spans="1:2" ht="15">
      <c r="A5" s="3">
        <v>1975</v>
      </c>
      <c r="B5" s="3"/>
    </row>
    <row r="6" spans="1:23" ht="15">
      <c r="A6" s="4" t="s">
        <v>186</v>
      </c>
      <c r="B6" s="4" t="s">
        <v>187</v>
      </c>
      <c r="C6" s="38">
        <f>IF(ISNA(VLOOKUP(B6,Table5Data!$A:$N,2,FALSE)),"-",VLOOKUP(B6,Table5Data!$A:$N,2,FALSE))</f>
        <v>-66</v>
      </c>
      <c r="D6" s="38" t="str">
        <f aca="true" t="shared" si="0" ref="D6:D24">IF(C6&lt;0,"decrease",IF(C6=0,"constant","increase"))</f>
        <v>decrease</v>
      </c>
      <c r="E6" s="38">
        <f>C6</f>
        <v>-66</v>
      </c>
      <c r="F6" s="38" t="str">
        <f>A6</f>
        <v>SE Salmon Seine</v>
      </c>
      <c r="G6" s="38">
        <f>IF(ISNA(VLOOKUP(B6,Table5Data!$A:$N,2,FALSE)),"-",VLOOKUP(B6,Table5Data!$A:$N,3,FALSE))</f>
        <v>4</v>
      </c>
      <c r="H6" s="38" t="str">
        <f aca="true" t="shared" si="1" ref="H6:H24">IF(G6&lt;0,"decrease",IF(G6=0,"constant","increase"))</f>
        <v>increase</v>
      </c>
      <c r="I6" s="38">
        <f>G6</f>
        <v>4</v>
      </c>
      <c r="J6" s="38" t="str">
        <f>F6</f>
        <v>SE Salmon Seine</v>
      </c>
      <c r="K6" s="38">
        <f>IF(ISNA(VLOOKUP(B6,Table5Data!$A:$N,2,FALSE)),"-",VLOOKUP(B6,Table5Data!$A:$N,4,FALSE))</f>
        <v>52</v>
      </c>
      <c r="L6" s="38" t="str">
        <f aca="true" t="shared" si="2" ref="L6:L24">IF(K6&lt;0,"decrease",IF(K6=0,"constant","increase"))</f>
        <v>increase</v>
      </c>
      <c r="M6" s="38">
        <f>K6</f>
        <v>52</v>
      </c>
      <c r="N6" s="38" t="str">
        <f>J6</f>
        <v>SE Salmon Seine</v>
      </c>
      <c r="O6" s="38">
        <f>IF(ISNA(VLOOKUP(B6,Table5Data!$A:$N,2,FALSE)),"-",VLOOKUP(B6,Table5Data!$A:$N,5,FALSE))</f>
        <v>16</v>
      </c>
      <c r="P6" s="38" t="str">
        <f aca="true" t="shared" si="3" ref="P6:P24">IF(O6&lt;0,"decrease",IF(O6=0,"constant","increase"))</f>
        <v>increase</v>
      </c>
      <c r="Q6" s="38">
        <f>O6</f>
        <v>16</v>
      </c>
      <c r="R6" s="38" t="str">
        <f>N6</f>
        <v>SE Salmon Seine</v>
      </c>
      <c r="S6" s="38">
        <f>IF(ISNA(VLOOKUP(B6,Table5Data!$A:$N,2,FALSE)),"-",VLOOKUP(B6,Table5Data!$A:$N,6,FALSE))</f>
        <v>-6</v>
      </c>
      <c r="T6" s="38" t="str">
        <f aca="true" t="shared" si="4" ref="T6:T24">IF(S6&lt;0,"decrease",IF(S6=0,"constant","increase"))</f>
        <v>decrease</v>
      </c>
      <c r="U6" s="38">
        <f>S6</f>
        <v>-6</v>
      </c>
      <c r="V6" s="38" t="str">
        <f>R6</f>
        <v>SE Salmon Seine</v>
      </c>
      <c r="W6" s="38">
        <f>IF(ISNA(VLOOKUP(B6,Table5Data!$A:$N,2,FALSE)),"-",VLOOKUP(B6,Table5Data!$A:$N,7,FALSE))</f>
        <v>0</v>
      </c>
    </row>
    <row r="7" spans="1:23" ht="15">
      <c r="A7" s="4" t="s">
        <v>188</v>
      </c>
      <c r="B7" s="4" t="s">
        <v>189</v>
      </c>
      <c r="C7" s="38">
        <f>IF(ISNA(VLOOKUP(B7,Table5Data!$A:$N,2,FALSE)),"-",VLOOKUP(B7,Table5Data!$A:$N,2,FALSE))</f>
        <v>-4</v>
      </c>
      <c r="D7" s="38" t="str">
        <f t="shared" si="0"/>
        <v>decrease</v>
      </c>
      <c r="E7" s="38">
        <f aca="true" t="shared" si="5" ref="E7:E24">C7</f>
        <v>-4</v>
      </c>
      <c r="F7" s="38" t="str">
        <f aca="true" t="shared" si="6" ref="F7:F24">A7</f>
        <v>SE Salmon Drift Gillnet</v>
      </c>
      <c r="G7" s="38">
        <f>IF(ISNA(VLOOKUP(B7,Table5Data!$A:$N,2,FALSE)),"-",VLOOKUP(B7,Table5Data!$A:$N,3,FALSE))</f>
        <v>12</v>
      </c>
      <c r="H7" s="38" t="str">
        <f t="shared" si="1"/>
        <v>increase</v>
      </c>
      <c r="I7" s="38">
        <f aca="true" t="shared" si="7" ref="I7:I24">G7</f>
        <v>12</v>
      </c>
      <c r="J7" s="38" t="str">
        <f aca="true" t="shared" si="8" ref="J7:J24">F7</f>
        <v>SE Salmon Drift Gillnet</v>
      </c>
      <c r="K7" s="38">
        <f>IF(ISNA(VLOOKUP(B7,Table5Data!$A:$N,2,FALSE)),"-",VLOOKUP(B7,Table5Data!$A:$N,4,FALSE))</f>
        <v>42</v>
      </c>
      <c r="L7" s="38" t="str">
        <f t="shared" si="2"/>
        <v>increase</v>
      </c>
      <c r="M7" s="38">
        <f aca="true" t="shared" si="9" ref="M7:M24">K7</f>
        <v>42</v>
      </c>
      <c r="N7" s="38" t="str">
        <f aca="true" t="shared" si="10" ref="N7:N24">J7</f>
        <v>SE Salmon Drift Gillnet</v>
      </c>
      <c r="O7" s="38">
        <f>IF(ISNA(VLOOKUP(B7,Table5Data!$A:$N,2,FALSE)),"-",VLOOKUP(B7,Table5Data!$A:$N,5,FALSE))</f>
        <v>-2</v>
      </c>
      <c r="P7" s="38" t="str">
        <f t="shared" si="3"/>
        <v>decrease</v>
      </c>
      <c r="Q7" s="38">
        <f aca="true" t="shared" si="11" ref="Q7:Q24">O7</f>
        <v>-2</v>
      </c>
      <c r="R7" s="38" t="str">
        <f aca="true" t="shared" si="12" ref="R7:R24">N7</f>
        <v>SE Salmon Drift Gillnet</v>
      </c>
      <c r="S7" s="38">
        <f>IF(ISNA(VLOOKUP(B7,Table5Data!$A:$N,2,FALSE)),"-",VLOOKUP(B7,Table5Data!$A:$N,6,FALSE))</f>
        <v>-48</v>
      </c>
      <c r="T7" s="38" t="str">
        <f t="shared" si="4"/>
        <v>decrease</v>
      </c>
      <c r="U7" s="38">
        <f aca="true" t="shared" si="13" ref="U7:U24">S7</f>
        <v>-48</v>
      </c>
      <c r="V7" s="38" t="str">
        <f aca="true" t="shared" si="14" ref="V7:V24">R7</f>
        <v>SE Salmon Drift Gillnet</v>
      </c>
      <c r="W7" s="38">
        <f>IF(ISNA(VLOOKUP(B7,Table5Data!$A:$N,2,FALSE)),"-",VLOOKUP(B7,Table5Data!$A:$N,7,FALSE))</f>
        <v>0</v>
      </c>
    </row>
    <row r="8" spans="1:23" ht="15">
      <c r="A8" s="4" t="s">
        <v>190</v>
      </c>
      <c r="B8" s="4" t="s">
        <v>191</v>
      </c>
      <c r="C8" s="38">
        <f>IF(ISNA(VLOOKUP(B8,Table5Data!$A:$N,2,FALSE)),"-",VLOOKUP(B8,Table5Data!$A:$N,2,FALSE))</f>
        <v>69</v>
      </c>
      <c r="D8" s="38" t="str">
        <f t="shared" si="0"/>
        <v>increase</v>
      </c>
      <c r="E8" s="38">
        <f t="shared" si="5"/>
        <v>69</v>
      </c>
      <c r="F8" s="38" t="str">
        <f t="shared" si="6"/>
        <v>Salmon Power Troll</v>
      </c>
      <c r="G8" s="38">
        <f>IF(ISNA(VLOOKUP(B8,Table5Data!$A:$N,2,FALSE)),"-",VLOOKUP(B8,Table5Data!$A:$N,3,FALSE))</f>
        <v>1</v>
      </c>
      <c r="H8" s="38" t="str">
        <f t="shared" si="1"/>
        <v>increase</v>
      </c>
      <c r="I8" s="38">
        <f t="shared" si="7"/>
        <v>1</v>
      </c>
      <c r="J8" s="38" t="str">
        <f t="shared" si="8"/>
        <v>Salmon Power Troll</v>
      </c>
      <c r="K8" s="38">
        <f>IF(ISNA(VLOOKUP(B8,Table5Data!$A:$N,2,FALSE)),"-",VLOOKUP(B8,Table5Data!$A:$N,4,FALSE))</f>
        <v>64</v>
      </c>
      <c r="L8" s="38" t="str">
        <f t="shared" si="2"/>
        <v>increase</v>
      </c>
      <c r="M8" s="38">
        <f t="shared" si="9"/>
        <v>64</v>
      </c>
      <c r="N8" s="38" t="str">
        <f t="shared" si="10"/>
        <v>Salmon Power Troll</v>
      </c>
      <c r="O8" s="38">
        <f>IF(ISNA(VLOOKUP(B8,Table5Data!$A:$N,2,FALSE)),"-",VLOOKUP(B8,Table5Data!$A:$N,5,FALSE))</f>
        <v>5</v>
      </c>
      <c r="P8" s="38" t="str">
        <f t="shared" si="3"/>
        <v>increase</v>
      </c>
      <c r="Q8" s="38">
        <f t="shared" si="11"/>
        <v>5</v>
      </c>
      <c r="R8" s="38" t="str">
        <f t="shared" si="12"/>
        <v>Salmon Power Troll</v>
      </c>
      <c r="S8" s="38">
        <f>IF(ISNA(VLOOKUP(B8,Table5Data!$A:$N,2,FALSE)),"-",VLOOKUP(B8,Table5Data!$A:$N,6,FALSE))</f>
        <v>-139</v>
      </c>
      <c r="T8" s="38" t="str">
        <f t="shared" si="4"/>
        <v>decrease</v>
      </c>
      <c r="U8" s="38">
        <f t="shared" si="13"/>
        <v>-139</v>
      </c>
      <c r="V8" s="38" t="str">
        <f t="shared" si="14"/>
        <v>Salmon Power Troll</v>
      </c>
      <c r="W8" s="38">
        <f>IF(ISNA(VLOOKUP(B8,Table5Data!$A:$N,2,FALSE)),"-",VLOOKUP(B8,Table5Data!$A:$N,7,FALSE))</f>
        <v>0</v>
      </c>
    </row>
    <row r="9" spans="1:23" ht="15">
      <c r="A9" s="7" t="s">
        <v>192</v>
      </c>
      <c r="B9" s="7" t="s">
        <v>193</v>
      </c>
      <c r="C9" s="43">
        <f>IF(ISNA(VLOOKUP(B9,Table5Data!$A:$N,2,FALSE)),"-",VLOOKUP(B9,Table5Data!$A:$N,2,FALSE))</f>
        <v>-6</v>
      </c>
      <c r="D9" s="38" t="str">
        <f t="shared" si="0"/>
        <v>decrease</v>
      </c>
      <c r="E9" s="38">
        <f t="shared" si="5"/>
        <v>-6</v>
      </c>
      <c r="F9" s="38" t="str">
        <f t="shared" si="6"/>
        <v>Yakutat Salmon Setnet</v>
      </c>
      <c r="G9" s="43">
        <f>IF(ISNA(VLOOKUP(B9,Table5Data!$A:$N,2,FALSE)),"-",VLOOKUP(B9,Table5Data!$A:$N,3,FALSE))</f>
        <v>10</v>
      </c>
      <c r="H9" s="38" t="str">
        <f t="shared" si="1"/>
        <v>increase</v>
      </c>
      <c r="I9" s="38">
        <f t="shared" si="7"/>
        <v>10</v>
      </c>
      <c r="J9" s="38" t="str">
        <f t="shared" si="8"/>
        <v>Yakutat Salmon Setnet</v>
      </c>
      <c r="K9" s="43">
        <f>IF(ISNA(VLOOKUP(B9,Table5Data!$A:$N,2,FALSE)),"-",VLOOKUP(B9,Table5Data!$A:$N,4,FALSE))</f>
        <v>0</v>
      </c>
      <c r="L9" s="38" t="str">
        <f t="shared" si="2"/>
        <v>constant</v>
      </c>
      <c r="M9" s="38">
        <f t="shared" si="9"/>
        <v>0</v>
      </c>
      <c r="N9" s="38" t="str">
        <f t="shared" si="10"/>
        <v>Yakutat Salmon Setnet</v>
      </c>
      <c r="O9" s="43">
        <f>IF(ISNA(VLOOKUP(B9,Table5Data!$A:$N,2,FALSE)),"-",VLOOKUP(B9,Table5Data!$A:$N,5,FALSE))</f>
        <v>-11</v>
      </c>
      <c r="P9" s="38" t="str">
        <f t="shared" si="3"/>
        <v>decrease</v>
      </c>
      <c r="Q9" s="38">
        <f t="shared" si="11"/>
        <v>-11</v>
      </c>
      <c r="R9" s="38" t="str">
        <f t="shared" si="12"/>
        <v>Yakutat Salmon Setnet</v>
      </c>
      <c r="S9" s="43">
        <f>IF(ISNA(VLOOKUP(B9,Table5Data!$A:$N,2,FALSE)),"-",VLOOKUP(B9,Table5Data!$A:$N,6,FALSE))</f>
        <v>7</v>
      </c>
      <c r="T9" s="38" t="str">
        <f t="shared" si="4"/>
        <v>increase</v>
      </c>
      <c r="U9" s="38">
        <f t="shared" si="13"/>
        <v>7</v>
      </c>
      <c r="V9" s="38" t="str">
        <f t="shared" si="14"/>
        <v>Yakutat Salmon Setnet</v>
      </c>
      <c r="W9" s="43">
        <f>IF(ISNA(VLOOKUP(B9,Table5Data!$A:$N,2,FALSE)),"-",VLOOKUP(B9,Table5Data!$A:$N,7,FALSE))</f>
        <v>0</v>
      </c>
    </row>
    <row r="10" spans="1:23" ht="15">
      <c r="A10" s="7" t="s">
        <v>194</v>
      </c>
      <c r="B10" s="7" t="s">
        <v>195</v>
      </c>
      <c r="C10" s="43">
        <f>IF(ISNA(VLOOKUP(B10,Table5Data!$A:$N,2,FALSE)),"-",VLOOKUP(B10,Table5Data!$A:$N,2,FALSE))</f>
        <v>-42</v>
      </c>
      <c r="D10" s="38" t="str">
        <f t="shared" si="0"/>
        <v>decrease</v>
      </c>
      <c r="E10" s="38">
        <f t="shared" si="5"/>
        <v>-42</v>
      </c>
      <c r="F10" s="38" t="str">
        <f t="shared" si="6"/>
        <v>PWS Salmon Seine</v>
      </c>
      <c r="G10" s="43">
        <f>IF(ISNA(VLOOKUP(B10,Table5Data!$A:$N,2,FALSE)),"-",VLOOKUP(B10,Table5Data!$A:$N,3,FALSE))</f>
        <v>47</v>
      </c>
      <c r="H10" s="38" t="str">
        <f t="shared" si="1"/>
        <v>increase</v>
      </c>
      <c r="I10" s="38">
        <f t="shared" si="7"/>
        <v>47</v>
      </c>
      <c r="J10" s="38" t="str">
        <f t="shared" si="8"/>
        <v>PWS Salmon Seine</v>
      </c>
      <c r="K10" s="43">
        <f>IF(ISNA(VLOOKUP(B10,Table5Data!$A:$N,2,FALSE)),"-",VLOOKUP(B10,Table5Data!$A:$N,4,FALSE))</f>
        <v>0</v>
      </c>
      <c r="L10" s="38" t="str">
        <f t="shared" si="2"/>
        <v>constant</v>
      </c>
      <c r="M10" s="38">
        <f t="shared" si="9"/>
        <v>0</v>
      </c>
      <c r="N10" s="38" t="str">
        <f t="shared" si="10"/>
        <v>PWS Salmon Seine</v>
      </c>
      <c r="O10" s="43">
        <f>IF(ISNA(VLOOKUP(B10,Table5Data!$A:$N,2,FALSE)),"-",VLOOKUP(B10,Table5Data!$A:$N,5,FALSE))</f>
        <v>3</v>
      </c>
      <c r="P10" s="38" t="str">
        <f t="shared" si="3"/>
        <v>increase</v>
      </c>
      <c r="Q10" s="38">
        <f t="shared" si="11"/>
        <v>3</v>
      </c>
      <c r="R10" s="38" t="str">
        <f t="shared" si="12"/>
        <v>PWS Salmon Seine</v>
      </c>
      <c r="S10" s="43">
        <f>IF(ISNA(VLOOKUP(B10,Table5Data!$A:$N,2,FALSE)),"-",VLOOKUP(B10,Table5Data!$A:$N,6,FALSE))</f>
        <v>-8</v>
      </c>
      <c r="T10" s="38" t="str">
        <f t="shared" si="4"/>
        <v>decrease</v>
      </c>
      <c r="U10" s="38">
        <f t="shared" si="13"/>
        <v>-8</v>
      </c>
      <c r="V10" s="38" t="str">
        <f t="shared" si="14"/>
        <v>PWS Salmon Seine</v>
      </c>
      <c r="W10" s="43">
        <f>IF(ISNA(VLOOKUP(B10,Table5Data!$A:$N,2,FALSE)),"-",VLOOKUP(B10,Table5Data!$A:$N,7,FALSE))</f>
        <v>0</v>
      </c>
    </row>
    <row r="11" spans="1:23" ht="15">
      <c r="A11" s="7" t="s">
        <v>196</v>
      </c>
      <c r="B11" s="7" t="s">
        <v>197</v>
      </c>
      <c r="C11" s="43">
        <f>IF(ISNA(VLOOKUP(B11,Table5Data!$A:$N,2,FALSE)),"-",VLOOKUP(B11,Table5Data!$A:$N,2,FALSE))</f>
        <v>-56</v>
      </c>
      <c r="D11" s="38" t="str">
        <f t="shared" si="0"/>
        <v>decrease</v>
      </c>
      <c r="E11" s="38">
        <f t="shared" si="5"/>
        <v>-56</v>
      </c>
      <c r="F11" s="38" t="str">
        <f t="shared" si="6"/>
        <v>PWS Salmon Drift Gillnet</v>
      </c>
      <c r="G11" s="43">
        <f>IF(ISNA(VLOOKUP(B11,Table5Data!$A:$N,2,FALSE)),"-",VLOOKUP(B11,Table5Data!$A:$N,3,FALSE))</f>
        <v>101</v>
      </c>
      <c r="H11" s="38" t="str">
        <f t="shared" si="1"/>
        <v>increase</v>
      </c>
      <c r="I11" s="38">
        <f t="shared" si="7"/>
        <v>101</v>
      </c>
      <c r="J11" s="38" t="str">
        <f t="shared" si="8"/>
        <v>PWS Salmon Drift Gillnet</v>
      </c>
      <c r="K11" s="43">
        <f>IF(ISNA(VLOOKUP(B11,Table5Data!$A:$N,2,FALSE)),"-",VLOOKUP(B11,Table5Data!$A:$N,4,FALSE))</f>
        <v>0</v>
      </c>
      <c r="L11" s="38" t="str">
        <f t="shared" si="2"/>
        <v>constant</v>
      </c>
      <c r="M11" s="38">
        <f t="shared" si="9"/>
        <v>0</v>
      </c>
      <c r="N11" s="38" t="str">
        <f t="shared" si="10"/>
        <v>PWS Salmon Drift Gillnet</v>
      </c>
      <c r="O11" s="43">
        <f>IF(ISNA(VLOOKUP(B11,Table5Data!$A:$N,2,FALSE)),"-",VLOOKUP(B11,Table5Data!$A:$N,5,FALSE))</f>
        <v>15</v>
      </c>
      <c r="P11" s="38" t="str">
        <f t="shared" si="3"/>
        <v>increase</v>
      </c>
      <c r="Q11" s="38">
        <f t="shared" si="11"/>
        <v>15</v>
      </c>
      <c r="R11" s="38" t="str">
        <f t="shared" si="12"/>
        <v>PWS Salmon Drift Gillnet</v>
      </c>
      <c r="S11" s="43">
        <f>IF(ISNA(VLOOKUP(B11,Table5Data!$A:$N,2,FALSE)),"-",VLOOKUP(B11,Table5Data!$A:$N,6,FALSE))</f>
        <v>-61</v>
      </c>
      <c r="T11" s="38" t="str">
        <f t="shared" si="4"/>
        <v>decrease</v>
      </c>
      <c r="U11" s="38">
        <f t="shared" si="13"/>
        <v>-61</v>
      </c>
      <c r="V11" s="38" t="str">
        <f t="shared" si="14"/>
        <v>PWS Salmon Drift Gillnet</v>
      </c>
      <c r="W11" s="43">
        <f>IF(ISNA(VLOOKUP(B11,Table5Data!$A:$N,2,FALSE)),"-",VLOOKUP(B11,Table5Data!$A:$N,7,FALSE))</f>
        <v>1</v>
      </c>
    </row>
    <row r="12" spans="1:23" ht="15">
      <c r="A12" s="7" t="s">
        <v>198</v>
      </c>
      <c r="B12" s="7" t="s">
        <v>199</v>
      </c>
      <c r="C12" s="43">
        <f>IF(ISNA(VLOOKUP(B12,Table5Data!$A:$N,2,FALSE)),"-",VLOOKUP(B12,Table5Data!$A:$N,2,FALSE))</f>
        <v>-12</v>
      </c>
      <c r="D12" s="38" t="str">
        <f t="shared" si="0"/>
        <v>decrease</v>
      </c>
      <c r="E12" s="38">
        <f t="shared" si="5"/>
        <v>-12</v>
      </c>
      <c r="F12" s="38" t="str">
        <f t="shared" si="6"/>
        <v>PWS Salmon Setnet</v>
      </c>
      <c r="G12" s="43">
        <f>IF(ISNA(VLOOKUP(B12,Table5Data!$A:$N,2,FALSE)),"-",VLOOKUP(B12,Table5Data!$A:$N,3,FALSE))</f>
        <v>3</v>
      </c>
      <c r="H12" s="38" t="str">
        <f t="shared" si="1"/>
        <v>increase</v>
      </c>
      <c r="I12" s="38">
        <f t="shared" si="7"/>
        <v>3</v>
      </c>
      <c r="J12" s="38" t="str">
        <f t="shared" si="8"/>
        <v>PWS Salmon Setnet</v>
      </c>
      <c r="K12" s="43">
        <f>IF(ISNA(VLOOKUP(B12,Table5Data!$A:$N,2,FALSE)),"-",VLOOKUP(B12,Table5Data!$A:$N,4,FALSE))</f>
        <v>0</v>
      </c>
      <c r="L12" s="38" t="str">
        <f t="shared" si="2"/>
        <v>constant</v>
      </c>
      <c r="M12" s="38">
        <f t="shared" si="9"/>
        <v>0</v>
      </c>
      <c r="N12" s="38" t="str">
        <f t="shared" si="10"/>
        <v>PWS Salmon Setnet</v>
      </c>
      <c r="O12" s="43">
        <f>IF(ISNA(VLOOKUP(B12,Table5Data!$A:$N,2,FALSE)),"-",VLOOKUP(B12,Table5Data!$A:$N,5,FALSE))</f>
        <v>12</v>
      </c>
      <c r="P12" s="38" t="str">
        <f t="shared" si="3"/>
        <v>increase</v>
      </c>
      <c r="Q12" s="38">
        <f t="shared" si="11"/>
        <v>12</v>
      </c>
      <c r="R12" s="38" t="str">
        <f t="shared" si="12"/>
        <v>PWS Salmon Setnet</v>
      </c>
      <c r="S12" s="43">
        <f>IF(ISNA(VLOOKUP(B12,Table5Data!$A:$N,2,FALSE)),"-",VLOOKUP(B12,Table5Data!$A:$N,6,FALSE))</f>
        <v>-3</v>
      </c>
      <c r="T12" s="38" t="str">
        <f t="shared" si="4"/>
        <v>decrease</v>
      </c>
      <c r="U12" s="38">
        <f t="shared" si="13"/>
        <v>-3</v>
      </c>
      <c r="V12" s="38" t="str">
        <f t="shared" si="14"/>
        <v>PWS Salmon Setnet</v>
      </c>
      <c r="W12" s="43">
        <f>IF(ISNA(VLOOKUP(B12,Table5Data!$A:$N,2,FALSE)),"-",VLOOKUP(B12,Table5Data!$A:$N,7,FALSE))</f>
        <v>0</v>
      </c>
    </row>
    <row r="13" spans="1:23" ht="15">
      <c r="A13" s="7" t="s">
        <v>200</v>
      </c>
      <c r="B13" s="7" t="s">
        <v>201</v>
      </c>
      <c r="C13" s="43">
        <f>IF(ISNA(VLOOKUP(B13,Table5Data!$A:$N,2,FALSE)),"-",VLOOKUP(B13,Table5Data!$A:$N,2,FALSE))</f>
        <v>-7</v>
      </c>
      <c r="D13" s="38" t="str">
        <f t="shared" si="0"/>
        <v>decrease</v>
      </c>
      <c r="E13" s="38">
        <f t="shared" si="5"/>
        <v>-7</v>
      </c>
      <c r="F13" s="38" t="str">
        <f t="shared" si="6"/>
        <v>Cook Inlet Salmon Seine</v>
      </c>
      <c r="G13" s="43">
        <f>IF(ISNA(VLOOKUP(B13,Table5Data!$A:$N,2,FALSE)),"-",VLOOKUP(B13,Table5Data!$A:$N,3,FALSE))</f>
        <v>2</v>
      </c>
      <c r="H13" s="38" t="str">
        <f t="shared" si="1"/>
        <v>increase</v>
      </c>
      <c r="I13" s="38">
        <f t="shared" si="7"/>
        <v>2</v>
      </c>
      <c r="J13" s="38" t="str">
        <f t="shared" si="8"/>
        <v>Cook Inlet Salmon Seine</v>
      </c>
      <c r="K13" s="43">
        <f>IF(ISNA(VLOOKUP(B13,Table5Data!$A:$N,2,FALSE)),"-",VLOOKUP(B13,Table5Data!$A:$N,4,FALSE))</f>
        <v>3</v>
      </c>
      <c r="L13" s="38" t="str">
        <f t="shared" si="2"/>
        <v>increase</v>
      </c>
      <c r="M13" s="38">
        <f t="shared" si="9"/>
        <v>3</v>
      </c>
      <c r="N13" s="38" t="str">
        <f t="shared" si="10"/>
        <v>Cook Inlet Salmon Seine</v>
      </c>
      <c r="O13" s="43">
        <f>IF(ISNA(VLOOKUP(B13,Table5Data!$A:$N,2,FALSE)),"-",VLOOKUP(B13,Table5Data!$A:$N,5,FALSE))</f>
        <v>3</v>
      </c>
      <c r="P13" s="38" t="str">
        <f t="shared" si="3"/>
        <v>increase</v>
      </c>
      <c r="Q13" s="38">
        <f t="shared" si="11"/>
        <v>3</v>
      </c>
      <c r="R13" s="38" t="str">
        <f t="shared" si="12"/>
        <v>Cook Inlet Salmon Seine</v>
      </c>
      <c r="S13" s="43">
        <f>IF(ISNA(VLOOKUP(B13,Table5Data!$A:$N,2,FALSE)),"-",VLOOKUP(B13,Table5Data!$A:$N,6,FALSE))</f>
        <v>-1</v>
      </c>
      <c r="T13" s="38" t="str">
        <f t="shared" si="4"/>
        <v>decrease</v>
      </c>
      <c r="U13" s="38">
        <f t="shared" si="13"/>
        <v>-1</v>
      </c>
      <c r="V13" s="38" t="str">
        <f t="shared" si="14"/>
        <v>Cook Inlet Salmon Seine</v>
      </c>
      <c r="W13" s="43">
        <f>IF(ISNA(VLOOKUP(B13,Table5Data!$A:$N,2,FALSE)),"-",VLOOKUP(B13,Table5Data!$A:$N,7,FALSE))</f>
        <v>0</v>
      </c>
    </row>
    <row r="14" spans="1:23" ht="15">
      <c r="A14" s="7" t="s">
        <v>202</v>
      </c>
      <c r="B14" s="7" t="s">
        <v>203</v>
      </c>
      <c r="C14" s="43">
        <f>IF(ISNA(VLOOKUP(B14,Table5Data!$A:$N,2,FALSE)),"-",VLOOKUP(B14,Table5Data!$A:$N,2,FALSE))</f>
        <v>58</v>
      </c>
      <c r="D14" s="38" t="str">
        <f t="shared" si="0"/>
        <v>increase</v>
      </c>
      <c r="E14" s="38">
        <f t="shared" si="5"/>
        <v>58</v>
      </c>
      <c r="F14" s="38" t="str">
        <f t="shared" si="6"/>
        <v>Cook Inlet Salmon Drift</v>
      </c>
      <c r="G14" s="43">
        <f>IF(ISNA(VLOOKUP(B14,Table5Data!$A:$N,2,FALSE)),"-",VLOOKUP(B14,Table5Data!$A:$N,3,FALSE))</f>
        <v>3</v>
      </c>
      <c r="H14" s="38" t="str">
        <f t="shared" si="1"/>
        <v>increase</v>
      </c>
      <c r="I14" s="38">
        <f t="shared" si="7"/>
        <v>3</v>
      </c>
      <c r="J14" s="38" t="str">
        <f t="shared" si="8"/>
        <v>Cook Inlet Salmon Drift</v>
      </c>
      <c r="K14" s="43">
        <f>IF(ISNA(VLOOKUP(B14,Table5Data!$A:$N,2,FALSE)),"-",VLOOKUP(B14,Table5Data!$A:$N,4,FALSE))</f>
        <v>9</v>
      </c>
      <c r="L14" s="38" t="str">
        <f t="shared" si="2"/>
        <v>increase</v>
      </c>
      <c r="M14" s="38">
        <f t="shared" si="9"/>
        <v>9</v>
      </c>
      <c r="N14" s="38" t="str">
        <f t="shared" si="10"/>
        <v>Cook Inlet Salmon Drift</v>
      </c>
      <c r="O14" s="43">
        <f>IF(ISNA(VLOOKUP(B14,Table5Data!$A:$N,2,FALSE)),"-",VLOOKUP(B14,Table5Data!$A:$N,5,FALSE))</f>
        <v>-4</v>
      </c>
      <c r="P14" s="38" t="str">
        <f t="shared" si="3"/>
        <v>decrease</v>
      </c>
      <c r="Q14" s="38">
        <f t="shared" si="11"/>
        <v>-4</v>
      </c>
      <c r="R14" s="38" t="str">
        <f t="shared" si="12"/>
        <v>Cook Inlet Salmon Drift</v>
      </c>
      <c r="S14" s="43">
        <f>IF(ISNA(VLOOKUP(B14,Table5Data!$A:$N,2,FALSE)),"-",VLOOKUP(B14,Table5Data!$A:$N,6,FALSE))</f>
        <v>-66</v>
      </c>
      <c r="T14" s="38" t="str">
        <f t="shared" si="4"/>
        <v>decrease</v>
      </c>
      <c r="U14" s="38">
        <f t="shared" si="13"/>
        <v>-66</v>
      </c>
      <c r="V14" s="38" t="str">
        <f t="shared" si="14"/>
        <v>Cook Inlet Salmon Drift</v>
      </c>
      <c r="W14" s="43">
        <f>IF(ISNA(VLOOKUP(B14,Table5Data!$A:$N,2,FALSE)),"-",VLOOKUP(B14,Table5Data!$A:$N,7,FALSE))</f>
        <v>0</v>
      </c>
    </row>
    <row r="15" spans="1:23" ht="15">
      <c r="A15" s="7" t="s">
        <v>204</v>
      </c>
      <c r="B15" s="7" t="s">
        <v>205</v>
      </c>
      <c r="C15" s="43">
        <f>IF(ISNA(VLOOKUP(B15,Table5Data!$A:$N,2,FALSE)),"-",VLOOKUP(B15,Table5Data!$A:$N,2,FALSE))</f>
        <v>18</v>
      </c>
      <c r="D15" s="38" t="str">
        <f t="shared" si="0"/>
        <v>increase</v>
      </c>
      <c r="E15" s="38">
        <f t="shared" si="5"/>
        <v>18</v>
      </c>
      <c r="F15" s="38" t="str">
        <f t="shared" si="6"/>
        <v>Cook Inlet Salmon Setnet</v>
      </c>
      <c r="G15" s="43">
        <f>IF(ISNA(VLOOKUP(B15,Table5Data!$A:$N,2,FALSE)),"-",VLOOKUP(B15,Table5Data!$A:$N,3,FALSE))</f>
        <v>-6</v>
      </c>
      <c r="H15" s="38" t="str">
        <f t="shared" si="1"/>
        <v>decrease</v>
      </c>
      <c r="I15" s="38">
        <f t="shared" si="7"/>
        <v>-6</v>
      </c>
      <c r="J15" s="38" t="str">
        <f t="shared" si="8"/>
        <v>Cook Inlet Salmon Setnet</v>
      </c>
      <c r="K15" s="43">
        <f>IF(ISNA(VLOOKUP(B15,Table5Data!$A:$N,2,FALSE)),"-",VLOOKUP(B15,Table5Data!$A:$N,4,FALSE))</f>
        <v>-30</v>
      </c>
      <c r="L15" s="38" t="str">
        <f t="shared" si="2"/>
        <v>decrease</v>
      </c>
      <c r="M15" s="38">
        <f t="shared" si="9"/>
        <v>-30</v>
      </c>
      <c r="N15" s="38" t="str">
        <f>J15</f>
        <v>Cook Inlet Salmon Setnet</v>
      </c>
      <c r="O15" s="43">
        <f>IF(ISNA(VLOOKUP(B15,Table5Data!$A:$N,2,FALSE)),"-",VLOOKUP(B15,Table5Data!$A:$N,5,FALSE))</f>
        <v>-9</v>
      </c>
      <c r="P15" s="38" t="str">
        <f t="shared" si="3"/>
        <v>decrease</v>
      </c>
      <c r="Q15" s="38">
        <f t="shared" si="11"/>
        <v>-9</v>
      </c>
      <c r="R15" s="38" t="str">
        <f t="shared" si="12"/>
        <v>Cook Inlet Salmon Setnet</v>
      </c>
      <c r="S15" s="43">
        <f>IF(ISNA(VLOOKUP(B15,Table5Data!$A:$N,2,FALSE)),"-",VLOOKUP(B15,Table5Data!$A:$N,6,FALSE))</f>
        <v>26</v>
      </c>
      <c r="T15" s="38" t="str">
        <f t="shared" si="4"/>
        <v>increase</v>
      </c>
      <c r="U15" s="38">
        <f t="shared" si="13"/>
        <v>26</v>
      </c>
      <c r="V15" s="38" t="str">
        <f t="shared" si="14"/>
        <v>Cook Inlet Salmon Setnet</v>
      </c>
      <c r="W15" s="43">
        <f>IF(ISNA(VLOOKUP(B15,Table5Data!$A:$N,2,FALSE)),"-",VLOOKUP(B15,Table5Data!$A:$N,7,FALSE))</f>
        <v>1</v>
      </c>
    </row>
    <row r="16" spans="1:23" ht="15">
      <c r="A16" s="7" t="s">
        <v>206</v>
      </c>
      <c r="B16" s="7" t="s">
        <v>207</v>
      </c>
      <c r="C16" s="43">
        <f>IF(ISNA(VLOOKUP(B16,Table5Data!$A:$N,2,FALSE)),"-",VLOOKUP(B16,Table5Data!$A:$N,2,FALSE))</f>
        <v>-13</v>
      </c>
      <c r="D16" s="38" t="str">
        <f t="shared" si="0"/>
        <v>decrease</v>
      </c>
      <c r="E16" s="38">
        <f t="shared" si="5"/>
        <v>-13</v>
      </c>
      <c r="F16" s="38" t="str">
        <f t="shared" si="6"/>
        <v>Kodiak Salmon Seine</v>
      </c>
      <c r="G16" s="43">
        <f>IF(ISNA(VLOOKUP(B16,Table5Data!$A:$N,2,FALSE)),"-",VLOOKUP(B16,Table5Data!$A:$N,3,FALSE))</f>
        <v>17</v>
      </c>
      <c r="H16" s="38" t="str">
        <f t="shared" si="1"/>
        <v>increase</v>
      </c>
      <c r="I16" s="38">
        <f t="shared" si="7"/>
        <v>17</v>
      </c>
      <c r="J16" s="38" t="str">
        <f t="shared" si="8"/>
        <v>Kodiak Salmon Seine</v>
      </c>
      <c r="K16" s="43">
        <f>IF(ISNA(VLOOKUP(B16,Table5Data!$A:$N,2,FALSE)),"-",VLOOKUP(B16,Table5Data!$A:$N,4,FALSE))</f>
        <v>62</v>
      </c>
      <c r="L16" s="38" t="str">
        <f t="shared" si="2"/>
        <v>increase</v>
      </c>
      <c r="M16" s="38">
        <f t="shared" si="9"/>
        <v>62</v>
      </c>
      <c r="N16" s="38" t="str">
        <f t="shared" si="10"/>
        <v>Kodiak Salmon Seine</v>
      </c>
      <c r="O16" s="43">
        <f>IF(ISNA(VLOOKUP(B16,Table5Data!$A:$N,2,FALSE)),"-",VLOOKUP(B16,Table5Data!$A:$N,5,FALSE))</f>
        <v>15</v>
      </c>
      <c r="P16" s="38" t="str">
        <f t="shared" si="3"/>
        <v>increase</v>
      </c>
      <c r="Q16" s="38">
        <f t="shared" si="11"/>
        <v>15</v>
      </c>
      <c r="R16" s="38" t="str">
        <f t="shared" si="12"/>
        <v>Kodiak Salmon Seine</v>
      </c>
      <c r="S16" s="43">
        <f>IF(ISNA(VLOOKUP(B16,Table5Data!$A:$N,2,FALSE)),"-",VLOOKUP(B16,Table5Data!$A:$N,6,FALSE))</f>
        <v>-81</v>
      </c>
      <c r="T16" s="38" t="str">
        <f t="shared" si="4"/>
        <v>decrease</v>
      </c>
      <c r="U16" s="38">
        <f t="shared" si="13"/>
        <v>-81</v>
      </c>
      <c r="V16" s="38" t="str">
        <f t="shared" si="14"/>
        <v>Kodiak Salmon Seine</v>
      </c>
      <c r="W16" s="43">
        <f>IF(ISNA(VLOOKUP(B16,Table5Data!$A:$N,2,FALSE)),"-",VLOOKUP(B16,Table5Data!$A:$N,7,FALSE))</f>
        <v>0</v>
      </c>
    </row>
    <row r="17" spans="1:23" ht="15">
      <c r="A17" s="7" t="s">
        <v>208</v>
      </c>
      <c r="B17" s="7" t="s">
        <v>209</v>
      </c>
      <c r="C17" s="43">
        <f>IF(ISNA(VLOOKUP(B17,Table5Data!$A:$N,2,FALSE)),"-",VLOOKUP(B17,Table5Data!$A:$N,2,FALSE))</f>
        <v>0</v>
      </c>
      <c r="D17" s="38" t="str">
        <f t="shared" si="0"/>
        <v>constant</v>
      </c>
      <c r="E17" s="38">
        <f t="shared" si="5"/>
        <v>0</v>
      </c>
      <c r="F17" s="38" t="str">
        <f t="shared" si="6"/>
        <v>Kodiak Salmon Beach Seine</v>
      </c>
      <c r="G17" s="43">
        <f>IF(ISNA(VLOOKUP(B17,Table5Data!$A:$N,2,FALSE)),"-",VLOOKUP(B17,Table5Data!$A:$N,3,FALSE))</f>
        <v>1</v>
      </c>
      <c r="H17" s="38" t="str">
        <f t="shared" si="1"/>
        <v>increase</v>
      </c>
      <c r="I17" s="38">
        <f t="shared" si="7"/>
        <v>1</v>
      </c>
      <c r="J17" s="38" t="str">
        <f t="shared" si="8"/>
        <v>Kodiak Salmon Beach Seine</v>
      </c>
      <c r="K17" s="43">
        <f>IF(ISNA(VLOOKUP(B17,Table5Data!$A:$N,2,FALSE)),"-",VLOOKUP(B17,Table5Data!$A:$N,4,FALSE))</f>
        <v>-6</v>
      </c>
      <c r="L17" s="38" t="str">
        <f t="shared" si="2"/>
        <v>decrease</v>
      </c>
      <c r="M17" s="38">
        <f t="shared" si="9"/>
        <v>-6</v>
      </c>
      <c r="N17" s="38" t="str">
        <f t="shared" si="10"/>
        <v>Kodiak Salmon Beach Seine</v>
      </c>
      <c r="O17" s="43">
        <f>IF(ISNA(VLOOKUP(B17,Table5Data!$A:$N,2,FALSE)),"-",VLOOKUP(B17,Table5Data!$A:$N,5,FALSE))</f>
        <v>-1</v>
      </c>
      <c r="P17" s="38" t="str">
        <f t="shared" si="3"/>
        <v>decrease</v>
      </c>
      <c r="Q17" s="38">
        <f t="shared" si="11"/>
        <v>-1</v>
      </c>
      <c r="R17" s="38" t="str">
        <f t="shared" si="12"/>
        <v>Kodiak Salmon Beach Seine</v>
      </c>
      <c r="S17" s="43">
        <f>IF(ISNA(VLOOKUP(B17,Table5Data!$A:$N,2,FALSE)),"-",VLOOKUP(B17,Table5Data!$A:$N,6,FALSE))</f>
        <v>6</v>
      </c>
      <c r="T17" s="38" t="str">
        <f t="shared" si="4"/>
        <v>increase</v>
      </c>
      <c r="U17" s="38">
        <f t="shared" si="13"/>
        <v>6</v>
      </c>
      <c r="V17" s="38" t="str">
        <f t="shared" si="14"/>
        <v>Kodiak Salmon Beach Seine</v>
      </c>
      <c r="W17" s="43">
        <f>IF(ISNA(VLOOKUP(B17,Table5Data!$A:$N,2,FALSE)),"-",VLOOKUP(B17,Table5Data!$A:$N,7,FALSE))</f>
        <v>0</v>
      </c>
    </row>
    <row r="18" spans="1:23" ht="15">
      <c r="A18" s="7" t="s">
        <v>210</v>
      </c>
      <c r="B18" s="7" t="s">
        <v>211</v>
      </c>
      <c r="C18" s="43">
        <f>IF(ISNA(VLOOKUP(B18,Table5Data!$A:$N,2,FALSE)),"-",VLOOKUP(B18,Table5Data!$A:$N,2,FALSE))</f>
        <v>-7</v>
      </c>
      <c r="D18" s="38" t="str">
        <f t="shared" si="0"/>
        <v>decrease</v>
      </c>
      <c r="E18" s="38">
        <f t="shared" si="5"/>
        <v>-7</v>
      </c>
      <c r="F18" s="38" t="str">
        <f t="shared" si="6"/>
        <v>Kodiak Salmon Setnet</v>
      </c>
      <c r="G18" s="43">
        <f>IF(ISNA(VLOOKUP(B18,Table5Data!$A:$N,2,FALSE)),"-",VLOOKUP(B18,Table5Data!$A:$N,3,FALSE))</f>
        <v>-2</v>
      </c>
      <c r="H18" s="38" t="str">
        <f t="shared" si="1"/>
        <v>decrease</v>
      </c>
      <c r="I18" s="38">
        <f t="shared" si="7"/>
        <v>-2</v>
      </c>
      <c r="J18" s="38" t="str">
        <f t="shared" si="8"/>
        <v>Kodiak Salmon Setnet</v>
      </c>
      <c r="K18" s="43">
        <f>IF(ISNA(VLOOKUP(B18,Table5Data!$A:$N,2,FALSE)),"-",VLOOKUP(B18,Table5Data!$A:$N,4,FALSE))</f>
        <v>50</v>
      </c>
      <c r="L18" s="38" t="str">
        <f t="shared" si="2"/>
        <v>increase</v>
      </c>
      <c r="M18" s="38">
        <f t="shared" si="9"/>
        <v>50</v>
      </c>
      <c r="N18" s="38" t="str">
        <f t="shared" si="10"/>
        <v>Kodiak Salmon Setnet</v>
      </c>
      <c r="O18" s="43">
        <f>IF(ISNA(VLOOKUP(B18,Table5Data!$A:$N,2,FALSE)),"-",VLOOKUP(B18,Table5Data!$A:$N,5,FALSE))</f>
        <v>-4</v>
      </c>
      <c r="P18" s="38" t="str">
        <f t="shared" si="3"/>
        <v>decrease</v>
      </c>
      <c r="Q18" s="38">
        <f t="shared" si="11"/>
        <v>-4</v>
      </c>
      <c r="R18" s="38" t="str">
        <f t="shared" si="12"/>
        <v>Kodiak Salmon Setnet</v>
      </c>
      <c r="S18" s="43">
        <f>IF(ISNA(VLOOKUP(B18,Table5Data!$A:$N,2,FALSE)),"-",VLOOKUP(B18,Table5Data!$A:$N,6,FALSE))</f>
        <v>-37</v>
      </c>
      <c r="T18" s="38" t="str">
        <f t="shared" si="4"/>
        <v>decrease</v>
      </c>
      <c r="U18" s="38">
        <f t="shared" si="13"/>
        <v>-37</v>
      </c>
      <c r="V18" s="38" t="str">
        <f t="shared" si="14"/>
        <v>Kodiak Salmon Setnet</v>
      </c>
      <c r="W18" s="43">
        <f>IF(ISNA(VLOOKUP(B18,Table5Data!$A:$N,2,FALSE)),"-",VLOOKUP(B18,Table5Data!$A:$N,7,FALSE))</f>
        <v>0</v>
      </c>
    </row>
    <row r="19" spans="1:23" ht="15">
      <c r="A19" s="7" t="s">
        <v>212</v>
      </c>
      <c r="B19" s="7" t="s">
        <v>213</v>
      </c>
      <c r="C19" s="43">
        <f>IF(ISNA(VLOOKUP(B19,Table5Data!$A:$N,2,FALSE)),"-",VLOOKUP(B19,Table5Data!$A:$N,2,FALSE))</f>
        <v>4</v>
      </c>
      <c r="D19" s="38" t="str">
        <f t="shared" si="0"/>
        <v>increase</v>
      </c>
      <c r="E19" s="38">
        <f t="shared" si="5"/>
        <v>4</v>
      </c>
      <c r="F19" s="38" t="str">
        <f t="shared" si="6"/>
        <v>Chignik Salmon Seine</v>
      </c>
      <c r="G19" s="43">
        <f>IF(ISNA(VLOOKUP(B19,Table5Data!$A:$N,2,FALSE)),"-",VLOOKUP(B19,Table5Data!$A:$N,3,FALSE))</f>
        <v>4</v>
      </c>
      <c r="H19" s="38" t="str">
        <f t="shared" si="1"/>
        <v>increase</v>
      </c>
      <c r="I19" s="38">
        <f t="shared" si="7"/>
        <v>4</v>
      </c>
      <c r="J19" s="38" t="str">
        <f t="shared" si="8"/>
        <v>Chignik Salmon Seine</v>
      </c>
      <c r="K19" s="43">
        <f>IF(ISNA(VLOOKUP(B19,Table5Data!$A:$N,2,FALSE)),"-",VLOOKUP(B19,Table5Data!$A:$N,4,FALSE))</f>
        <v>0</v>
      </c>
      <c r="L19" s="38" t="str">
        <f t="shared" si="2"/>
        <v>constant</v>
      </c>
      <c r="M19" s="38">
        <f t="shared" si="9"/>
        <v>0</v>
      </c>
      <c r="N19" s="38" t="str">
        <f t="shared" si="10"/>
        <v>Chignik Salmon Seine</v>
      </c>
      <c r="O19" s="43">
        <f>IF(ISNA(VLOOKUP(B19,Table5Data!$A:$N,2,FALSE)),"-",VLOOKUP(B19,Table5Data!$A:$N,5,FALSE))</f>
        <v>1</v>
      </c>
      <c r="P19" s="38" t="str">
        <f t="shared" si="3"/>
        <v>increase</v>
      </c>
      <c r="Q19" s="38">
        <f t="shared" si="11"/>
        <v>1</v>
      </c>
      <c r="R19" s="38" t="str">
        <f t="shared" si="12"/>
        <v>Chignik Salmon Seine</v>
      </c>
      <c r="S19" s="43">
        <f>IF(ISNA(VLOOKUP(B19,Table5Data!$A:$N,2,FALSE)),"-",VLOOKUP(B19,Table5Data!$A:$N,6,FALSE))</f>
        <v>-9</v>
      </c>
      <c r="T19" s="38" t="str">
        <f t="shared" si="4"/>
        <v>decrease</v>
      </c>
      <c r="U19" s="38">
        <f t="shared" si="13"/>
        <v>-9</v>
      </c>
      <c r="V19" s="38" t="str">
        <f t="shared" si="14"/>
        <v>Chignik Salmon Seine</v>
      </c>
      <c r="W19" s="43">
        <f>IF(ISNA(VLOOKUP(B19,Table5Data!$A:$N,2,FALSE)),"-",VLOOKUP(B19,Table5Data!$A:$N,7,FALSE))</f>
        <v>0</v>
      </c>
    </row>
    <row r="20" spans="1:23" ht="15">
      <c r="A20" s="7" t="s">
        <v>214</v>
      </c>
      <c r="B20" s="7" t="s">
        <v>215</v>
      </c>
      <c r="C20" s="43">
        <f>IF(ISNA(VLOOKUP(B20,Table5Data!$A:$N,2,FALSE)),"-",VLOOKUP(B20,Table5Data!$A:$N,2,FALSE))</f>
        <v>-34</v>
      </c>
      <c r="D20" s="38" t="str">
        <f t="shared" si="0"/>
        <v>decrease</v>
      </c>
      <c r="E20" s="38">
        <f t="shared" si="5"/>
        <v>-34</v>
      </c>
      <c r="F20" s="38" t="str">
        <f t="shared" si="6"/>
        <v>Pen/Aleutian Salmon Seine</v>
      </c>
      <c r="G20" s="43">
        <f>IF(ISNA(VLOOKUP(B20,Table5Data!$A:$N,2,FALSE)),"-",VLOOKUP(B20,Table5Data!$A:$N,3,FALSE))</f>
        <v>3</v>
      </c>
      <c r="H20" s="38" t="str">
        <f t="shared" si="1"/>
        <v>increase</v>
      </c>
      <c r="I20" s="38">
        <f t="shared" si="7"/>
        <v>3</v>
      </c>
      <c r="J20" s="38" t="str">
        <f t="shared" si="8"/>
        <v>Pen/Aleutian Salmon Seine</v>
      </c>
      <c r="K20" s="43">
        <f>IF(ISNA(VLOOKUP(B20,Table5Data!$A:$N,2,FALSE)),"-",VLOOKUP(B20,Table5Data!$A:$N,4,FALSE))</f>
        <v>1</v>
      </c>
      <c r="L20" s="38" t="str">
        <f t="shared" si="2"/>
        <v>increase</v>
      </c>
      <c r="M20" s="38">
        <f t="shared" si="9"/>
        <v>1</v>
      </c>
      <c r="N20" s="38" t="str">
        <f t="shared" si="10"/>
        <v>Pen/Aleutian Salmon Seine</v>
      </c>
      <c r="O20" s="43">
        <f>IF(ISNA(VLOOKUP(B20,Table5Data!$A:$N,2,FALSE)),"-",VLOOKUP(B20,Table5Data!$A:$N,5,FALSE))</f>
        <v>7</v>
      </c>
      <c r="P20" s="38" t="str">
        <f t="shared" si="3"/>
        <v>increase</v>
      </c>
      <c r="Q20" s="38">
        <f t="shared" si="11"/>
        <v>7</v>
      </c>
      <c r="R20" s="38" t="str">
        <f t="shared" si="12"/>
        <v>Pen/Aleutian Salmon Seine</v>
      </c>
      <c r="S20" s="43">
        <f>IF(ISNA(VLOOKUP(B20,Table5Data!$A:$N,2,FALSE)),"-",VLOOKUP(B20,Table5Data!$A:$N,6,FALSE))</f>
        <v>23</v>
      </c>
      <c r="T20" s="38" t="str">
        <f t="shared" si="4"/>
        <v>increase</v>
      </c>
      <c r="U20" s="38">
        <f t="shared" si="13"/>
        <v>23</v>
      </c>
      <c r="V20" s="38" t="str">
        <f t="shared" si="14"/>
        <v>Pen/Aleutian Salmon Seine</v>
      </c>
      <c r="W20" s="43">
        <f>IF(ISNA(VLOOKUP(B20,Table5Data!$A:$N,2,FALSE)),"-",VLOOKUP(B20,Table5Data!$A:$N,7,FALSE))</f>
        <v>0</v>
      </c>
    </row>
    <row r="21" spans="1:23" ht="15">
      <c r="A21" s="7" t="s">
        <v>216</v>
      </c>
      <c r="B21" s="7" t="s">
        <v>217</v>
      </c>
      <c r="C21" s="43">
        <f>IF(ISNA(VLOOKUP(B21,Table5Data!$A:$N,2,FALSE)),"-",VLOOKUP(B21,Table5Data!$A:$N,2,FALSE))</f>
        <v>-61</v>
      </c>
      <c r="D21" s="38" t="str">
        <f t="shared" si="0"/>
        <v>decrease</v>
      </c>
      <c r="E21" s="38">
        <f t="shared" si="5"/>
        <v>-61</v>
      </c>
      <c r="F21" s="38" t="str">
        <f t="shared" si="6"/>
        <v>Pen/Aleutian Salmon Drift</v>
      </c>
      <c r="G21" s="43">
        <f>IF(ISNA(VLOOKUP(B21,Table5Data!$A:$N,2,FALSE)),"-",VLOOKUP(B21,Table5Data!$A:$N,3,FALSE))</f>
        <v>38</v>
      </c>
      <c r="H21" s="38" t="str">
        <f t="shared" si="1"/>
        <v>increase</v>
      </c>
      <c r="I21" s="38">
        <f t="shared" si="7"/>
        <v>38</v>
      </c>
      <c r="J21" s="38" t="str">
        <f t="shared" si="8"/>
        <v>Pen/Aleutian Salmon Drift</v>
      </c>
      <c r="K21" s="43">
        <f>IF(ISNA(VLOOKUP(B21,Table5Data!$A:$N,2,FALSE)),"-",VLOOKUP(B21,Table5Data!$A:$N,4,FALSE))</f>
        <v>2</v>
      </c>
      <c r="L21" s="38" t="str">
        <f t="shared" si="2"/>
        <v>increase</v>
      </c>
      <c r="M21" s="38">
        <f t="shared" si="9"/>
        <v>2</v>
      </c>
      <c r="N21" s="38" t="str">
        <f t="shared" si="10"/>
        <v>Pen/Aleutian Salmon Drift</v>
      </c>
      <c r="O21" s="43">
        <f>IF(ISNA(VLOOKUP(B21,Table5Data!$A:$N,2,FALSE)),"-",VLOOKUP(B21,Table5Data!$A:$N,5,FALSE))</f>
        <v>11</v>
      </c>
      <c r="P21" s="38" t="str">
        <f t="shared" si="3"/>
        <v>increase</v>
      </c>
      <c r="Q21" s="38">
        <f t="shared" si="11"/>
        <v>11</v>
      </c>
      <c r="R21" s="38" t="str">
        <f t="shared" si="12"/>
        <v>Pen/Aleutian Salmon Drift</v>
      </c>
      <c r="S21" s="43">
        <f>IF(ISNA(VLOOKUP(B21,Table5Data!$A:$N,2,FALSE)),"-",VLOOKUP(B21,Table5Data!$A:$N,6,FALSE))</f>
        <v>10</v>
      </c>
      <c r="T21" s="38" t="str">
        <f t="shared" si="4"/>
        <v>increase</v>
      </c>
      <c r="U21" s="38">
        <f t="shared" si="13"/>
        <v>10</v>
      </c>
      <c r="V21" s="38" t="str">
        <f t="shared" si="14"/>
        <v>Pen/Aleutian Salmon Drift</v>
      </c>
      <c r="W21" s="43">
        <f>IF(ISNA(VLOOKUP(B21,Table5Data!$A:$N,2,FALSE)),"-",VLOOKUP(B21,Table5Data!$A:$N,7,FALSE))</f>
        <v>0</v>
      </c>
    </row>
    <row r="22" spans="1:23" ht="15">
      <c r="A22" s="7" t="s">
        <v>218</v>
      </c>
      <c r="B22" s="7" t="s">
        <v>219</v>
      </c>
      <c r="C22" s="43">
        <f>IF(ISNA(VLOOKUP(B22,Table5Data!$A:$N,2,FALSE)),"-",VLOOKUP(B22,Table5Data!$A:$N,2,FALSE))</f>
        <v>5</v>
      </c>
      <c r="D22" s="38" t="str">
        <f t="shared" si="0"/>
        <v>increase</v>
      </c>
      <c r="E22" s="38">
        <f t="shared" si="5"/>
        <v>5</v>
      </c>
      <c r="F22" s="38" t="str">
        <f t="shared" si="6"/>
        <v>Pen/Aleutian Salmon Setnet</v>
      </c>
      <c r="G22" s="43">
        <f>IF(ISNA(VLOOKUP(B22,Table5Data!$A:$N,2,FALSE)),"-",VLOOKUP(B22,Table5Data!$A:$N,3,FALSE))</f>
        <v>4</v>
      </c>
      <c r="H22" s="38" t="str">
        <f t="shared" si="1"/>
        <v>increase</v>
      </c>
      <c r="I22" s="38">
        <f t="shared" si="7"/>
        <v>4</v>
      </c>
      <c r="J22" s="38" t="str">
        <f t="shared" si="8"/>
        <v>Pen/Aleutian Salmon Setnet</v>
      </c>
      <c r="K22" s="43">
        <f>IF(ISNA(VLOOKUP(B22,Table5Data!$A:$N,2,FALSE)),"-",VLOOKUP(B22,Table5Data!$A:$N,4,FALSE))</f>
        <v>1</v>
      </c>
      <c r="L22" s="38" t="str">
        <f t="shared" si="2"/>
        <v>increase</v>
      </c>
      <c r="M22" s="38">
        <f t="shared" si="9"/>
        <v>1</v>
      </c>
      <c r="N22" s="38" t="str">
        <f t="shared" si="10"/>
        <v>Pen/Aleutian Salmon Setnet</v>
      </c>
      <c r="O22" s="43">
        <f>IF(ISNA(VLOOKUP(B22,Table5Data!$A:$N,2,FALSE)),"-",VLOOKUP(B22,Table5Data!$A:$N,5,FALSE))</f>
        <v>-11</v>
      </c>
      <c r="P22" s="38" t="str">
        <f t="shared" si="3"/>
        <v>decrease</v>
      </c>
      <c r="Q22" s="38">
        <f t="shared" si="11"/>
        <v>-11</v>
      </c>
      <c r="R22" s="38" t="str">
        <f t="shared" si="12"/>
        <v>Pen/Aleutian Salmon Setnet</v>
      </c>
      <c r="S22" s="43">
        <f>IF(ISNA(VLOOKUP(B22,Table5Data!$A:$N,2,FALSE)),"-",VLOOKUP(B22,Table5Data!$A:$N,6,FALSE))</f>
        <v>1</v>
      </c>
      <c r="T22" s="38" t="str">
        <f t="shared" si="4"/>
        <v>increase</v>
      </c>
      <c r="U22" s="38">
        <f t="shared" si="13"/>
        <v>1</v>
      </c>
      <c r="V22" s="38" t="str">
        <f t="shared" si="14"/>
        <v>Pen/Aleutian Salmon Setnet</v>
      </c>
      <c r="W22" s="43">
        <f>IF(ISNA(VLOOKUP(B22,Table5Data!$A:$N,2,FALSE)),"-",VLOOKUP(B22,Table5Data!$A:$N,7,FALSE))</f>
        <v>0</v>
      </c>
    </row>
    <row r="23" spans="1:23" ht="15">
      <c r="A23" s="7" t="s">
        <v>220</v>
      </c>
      <c r="B23" s="7" t="s">
        <v>221</v>
      </c>
      <c r="C23" s="43">
        <f>IF(ISNA(VLOOKUP(B23,Table5Data!$A:$N,2,FALSE)),"-",VLOOKUP(B23,Table5Data!$A:$N,2,FALSE))</f>
        <v>-261</v>
      </c>
      <c r="D23" s="38" t="str">
        <f t="shared" si="0"/>
        <v>decrease</v>
      </c>
      <c r="E23" s="38">
        <f t="shared" si="5"/>
        <v>-261</v>
      </c>
      <c r="F23" s="38" t="str">
        <f t="shared" si="6"/>
        <v>Bristol Bay Salmon Drift</v>
      </c>
      <c r="G23" s="43">
        <f>IF(ISNA(VLOOKUP(B23,Table5Data!$A:$N,2,FALSE)),"-",VLOOKUP(B23,Table5Data!$A:$N,3,FALSE))</f>
        <v>16</v>
      </c>
      <c r="H23" s="38" t="str">
        <f t="shared" si="1"/>
        <v>increase</v>
      </c>
      <c r="I23" s="38">
        <f t="shared" si="7"/>
        <v>16</v>
      </c>
      <c r="J23" s="38" t="str">
        <f t="shared" si="8"/>
        <v>Bristol Bay Salmon Drift</v>
      </c>
      <c r="K23" s="43">
        <f>IF(ISNA(VLOOKUP(B23,Table5Data!$A:$N,2,FALSE)),"-",VLOOKUP(B23,Table5Data!$A:$N,4,FALSE))</f>
        <v>0</v>
      </c>
      <c r="L23" s="38" t="str">
        <f t="shared" si="2"/>
        <v>constant</v>
      </c>
      <c r="M23" s="38">
        <f t="shared" si="9"/>
        <v>0</v>
      </c>
      <c r="N23" s="38" t="str">
        <f t="shared" si="10"/>
        <v>Bristol Bay Salmon Drift</v>
      </c>
      <c r="O23" s="43">
        <f>IF(ISNA(VLOOKUP(B23,Table5Data!$A:$N,2,FALSE)),"-",VLOOKUP(B23,Table5Data!$A:$N,5,FALSE))</f>
        <v>90</v>
      </c>
      <c r="P23" s="38" t="str">
        <f t="shared" si="3"/>
        <v>increase</v>
      </c>
      <c r="Q23" s="38">
        <f t="shared" si="11"/>
        <v>90</v>
      </c>
      <c r="R23" s="38" t="str">
        <f t="shared" si="12"/>
        <v>Bristol Bay Salmon Drift</v>
      </c>
      <c r="S23" s="43">
        <f>IF(ISNA(VLOOKUP(B23,Table5Data!$A:$N,2,FALSE)),"-",VLOOKUP(B23,Table5Data!$A:$N,6,FALSE))</f>
        <v>155</v>
      </c>
      <c r="T23" s="38" t="str">
        <f t="shared" si="4"/>
        <v>increase</v>
      </c>
      <c r="U23" s="38">
        <f t="shared" si="13"/>
        <v>155</v>
      </c>
      <c r="V23" s="38" t="str">
        <f t="shared" si="14"/>
        <v>Bristol Bay Salmon Drift</v>
      </c>
      <c r="W23" s="43">
        <f>IF(ISNA(VLOOKUP(B23,Table5Data!$A:$N,2,FALSE)),"-",VLOOKUP(B23,Table5Data!$A:$N,7,FALSE))</f>
        <v>0</v>
      </c>
    </row>
    <row r="24" spans="1:23" ht="15">
      <c r="A24" s="7" t="s">
        <v>222</v>
      </c>
      <c r="B24" s="7" t="s">
        <v>223</v>
      </c>
      <c r="C24" s="72">
        <f>IF(ISNA(VLOOKUP(B24,Table5Data!$A:$N,2,FALSE)),"-",VLOOKUP(B24,Table5Data!$A:$N,2,FALSE))</f>
        <v>-155</v>
      </c>
      <c r="D24" s="72" t="str">
        <f t="shared" si="0"/>
        <v>decrease</v>
      </c>
      <c r="E24" s="72">
        <f t="shared" si="5"/>
        <v>-155</v>
      </c>
      <c r="F24" s="72" t="str">
        <f t="shared" si="6"/>
        <v>Bristol Bay Salmon Setnet</v>
      </c>
      <c r="G24" s="124">
        <f>IF(ISNA(VLOOKUP(B24,Table5Data!$A:$N,2,FALSE)),"-",VLOOKUP(B24,Table5Data!$A:$N,3,FALSE))</f>
        <v>11</v>
      </c>
      <c r="H24" s="72" t="str">
        <f t="shared" si="1"/>
        <v>increase</v>
      </c>
      <c r="I24" s="72">
        <f t="shared" si="7"/>
        <v>11</v>
      </c>
      <c r="J24" s="72" t="str">
        <f t="shared" si="8"/>
        <v>Bristol Bay Salmon Setnet</v>
      </c>
      <c r="K24" s="124">
        <f>IF(ISNA(VLOOKUP(B24,Table5Data!$A:$N,2,FALSE)),"-",VLOOKUP(B24,Table5Data!$A:$N,4,FALSE))</f>
        <v>0</v>
      </c>
      <c r="L24" s="72" t="str">
        <f t="shared" si="2"/>
        <v>constant</v>
      </c>
      <c r="M24" s="72">
        <f t="shared" si="9"/>
        <v>0</v>
      </c>
      <c r="N24" s="72" t="str">
        <f t="shared" si="10"/>
        <v>Bristol Bay Salmon Setnet</v>
      </c>
      <c r="O24" s="124">
        <f>IF(ISNA(VLOOKUP(B24,Table5Data!$A:$N,2,FALSE)),"-",VLOOKUP(B24,Table5Data!$A:$N,5,FALSE))</f>
        <v>56</v>
      </c>
      <c r="P24" s="72" t="str">
        <f t="shared" si="3"/>
        <v>increase</v>
      </c>
      <c r="Q24" s="72">
        <f t="shared" si="11"/>
        <v>56</v>
      </c>
      <c r="R24" s="72" t="str">
        <f t="shared" si="12"/>
        <v>Bristol Bay Salmon Setnet</v>
      </c>
      <c r="S24" s="124">
        <f>IF(ISNA(VLOOKUP(B24,Table5Data!$A:$N,2,FALSE)),"-",VLOOKUP(B24,Table5Data!$A:$N,6,FALSE))</f>
        <v>87</v>
      </c>
      <c r="T24" s="72" t="str">
        <f t="shared" si="4"/>
        <v>increase</v>
      </c>
      <c r="U24" s="72">
        <f t="shared" si="13"/>
        <v>87</v>
      </c>
      <c r="V24" s="72" t="str">
        <f t="shared" si="14"/>
        <v>Bristol Bay Salmon Setnet</v>
      </c>
      <c r="W24" s="124">
        <f>IF(ISNA(VLOOKUP(B24,Table5Data!$A:$N,2,FALSE)),"-",VLOOKUP(B24,Table5Data!$A:$N,7,FALSE))</f>
        <v>1</v>
      </c>
    </row>
    <row r="25" spans="1:23" ht="15">
      <c r="A25" s="7"/>
      <c r="B25" s="7"/>
      <c r="C25" s="44">
        <f>SUM(C6:C24)</f>
        <v>-570</v>
      </c>
      <c r="D25" s="44"/>
      <c r="E25" s="44"/>
      <c r="F25" s="44"/>
      <c r="G25" s="44">
        <f>SUM(G6:G24)</f>
        <v>269</v>
      </c>
      <c r="H25" s="44"/>
      <c r="I25" s="44"/>
      <c r="J25" s="44"/>
      <c r="K25" s="44">
        <f>SUM(K6:K24)</f>
        <v>250</v>
      </c>
      <c r="L25" s="44"/>
      <c r="M25" s="44"/>
      <c r="N25" s="44"/>
      <c r="O25" s="44">
        <f>SUM(O6:O24)</f>
        <v>192</v>
      </c>
      <c r="P25" s="44"/>
      <c r="Q25" s="44"/>
      <c r="R25" s="44"/>
      <c r="S25" s="44">
        <f>SUM(S6:S24)</f>
        <v>-144</v>
      </c>
      <c r="T25" s="44"/>
      <c r="U25" s="44"/>
      <c r="V25" s="44"/>
      <c r="W25" s="44">
        <f>SUM(W6:W24)</f>
        <v>3</v>
      </c>
    </row>
    <row r="26" spans="1:23" ht="15">
      <c r="A26" s="8"/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5">
      <c r="A27" s="9">
        <v>1976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5">
      <c r="A28" s="7" t="s">
        <v>224</v>
      </c>
      <c r="B28" s="7" t="s">
        <v>225</v>
      </c>
      <c r="C28" s="38">
        <f>IF(ISNA(VLOOKUP(B28,Table5Data!$A:$N,2,FALSE)),"-",VLOOKUP(B28,Table5Data!$A:$N,2,FALSE))</f>
        <v>-2</v>
      </c>
      <c r="D28" s="38" t="str">
        <f aca="true" t="shared" si="15" ref="D28:D33">IF(C28&lt;0,"decrease",IF(C28=0,"constant","increase"))</f>
        <v>decrease</v>
      </c>
      <c r="E28" s="38">
        <f aca="true" t="shared" si="16" ref="E28:E33">C28</f>
        <v>-2</v>
      </c>
      <c r="F28" s="38" t="str">
        <f aca="true" t="shared" si="17" ref="F28:F33">A28</f>
        <v>Upper Yukon Salmon Gillnet</v>
      </c>
      <c r="G28" s="43">
        <f>IF(ISNA(VLOOKUP(B28,Table5Data!$A:$N,2,FALSE)),"-",VLOOKUP(B28,Table5Data!$A:$N,3,FALSE))</f>
        <v>-1</v>
      </c>
      <c r="H28" s="38" t="str">
        <f aca="true" t="shared" si="18" ref="H28:H33">IF(G28&lt;0,"decrease",IF(G28=0,"constant","increase"))</f>
        <v>decrease</v>
      </c>
      <c r="I28" s="38">
        <f aca="true" t="shared" si="19" ref="I28:I33">G28</f>
        <v>-1</v>
      </c>
      <c r="J28" s="38" t="str">
        <f aca="true" t="shared" si="20" ref="J28:J33">F28</f>
        <v>Upper Yukon Salmon Gillnet</v>
      </c>
      <c r="K28" s="43">
        <f>IF(ISNA(VLOOKUP(B28,Table5Data!$A:$N,2,FALSE)),"-",VLOOKUP(B28,Table5Data!$A:$N,4,FALSE))</f>
        <v>3</v>
      </c>
      <c r="L28" s="38" t="str">
        <f aca="true" t="shared" si="21" ref="L28:L33">IF(K28&lt;0,"decrease",IF(K28=0,"constant","increase"))</f>
        <v>increase</v>
      </c>
      <c r="M28" s="38">
        <f aca="true" t="shared" si="22" ref="M28:M33">K28</f>
        <v>3</v>
      </c>
      <c r="N28" s="38" t="str">
        <f aca="true" t="shared" si="23" ref="N28:N33">J28</f>
        <v>Upper Yukon Salmon Gillnet</v>
      </c>
      <c r="O28" s="43">
        <f>IF(ISNA(VLOOKUP(B28,Table5Data!$A:$N,2,FALSE)),"-",VLOOKUP(B28,Table5Data!$A:$N,5,FALSE))</f>
        <v>2</v>
      </c>
      <c r="P28" s="38" t="str">
        <f aca="true" t="shared" si="24" ref="P28:P33">IF(O28&lt;0,"decrease",IF(O28=0,"constant","increase"))</f>
        <v>increase</v>
      </c>
      <c r="Q28" s="38">
        <f aca="true" t="shared" si="25" ref="Q28:Q33">O28</f>
        <v>2</v>
      </c>
      <c r="R28" s="38" t="str">
        <f aca="true" t="shared" si="26" ref="R28:R33">N28</f>
        <v>Upper Yukon Salmon Gillnet</v>
      </c>
      <c r="S28" s="43">
        <f>IF(ISNA(VLOOKUP(B28,Table5Data!$A:$N,2,FALSE)),"-",VLOOKUP(B28,Table5Data!$A:$N,6,FALSE))</f>
        <v>-2</v>
      </c>
      <c r="T28" s="38" t="str">
        <f aca="true" t="shared" si="27" ref="T28:T33">IF(S28&lt;0,"decrease",IF(S28=0,"constant","increase"))</f>
        <v>decrease</v>
      </c>
      <c r="U28" s="38">
        <f aca="true" t="shared" si="28" ref="U28:U33">S28</f>
        <v>-2</v>
      </c>
      <c r="V28" s="38" t="str">
        <f aca="true" t="shared" si="29" ref="V28:V33">R28</f>
        <v>Upper Yukon Salmon Gillnet</v>
      </c>
      <c r="W28" s="43">
        <f>IF(ISNA(VLOOKUP(B28,Table5Data!$A:$N,2,FALSE)),"-",VLOOKUP(B28,Table5Data!$A:$N,7,FALSE))</f>
        <v>0</v>
      </c>
    </row>
    <row r="29" spans="1:23" ht="15">
      <c r="A29" s="7" t="s">
        <v>226</v>
      </c>
      <c r="B29" s="7" t="s">
        <v>227</v>
      </c>
      <c r="C29" s="38">
        <f>IF(ISNA(VLOOKUP(B29,Table5Data!$A:$N,2,FALSE)),"-",VLOOKUP(B29,Table5Data!$A:$N,2,FALSE))</f>
        <v>2</v>
      </c>
      <c r="D29" s="38" t="str">
        <f t="shared" si="15"/>
        <v>increase</v>
      </c>
      <c r="E29" s="38">
        <f t="shared" si="16"/>
        <v>2</v>
      </c>
      <c r="F29" s="38" t="str">
        <f t="shared" si="17"/>
        <v>U Yukon Salmon Fish Wheel</v>
      </c>
      <c r="G29" s="43">
        <f>IF(ISNA(VLOOKUP(B29,Table5Data!$A:$N,2,FALSE)),"-",VLOOKUP(B29,Table5Data!$A:$N,3,FALSE))</f>
        <v>-3</v>
      </c>
      <c r="H29" s="38" t="str">
        <f t="shared" si="18"/>
        <v>decrease</v>
      </c>
      <c r="I29" s="38">
        <f t="shared" si="19"/>
        <v>-3</v>
      </c>
      <c r="J29" s="38" t="str">
        <f t="shared" si="20"/>
        <v>U Yukon Salmon Fish Wheel</v>
      </c>
      <c r="K29" s="43">
        <f>IF(ISNA(VLOOKUP(B29,Table5Data!$A:$N,2,FALSE)),"-",VLOOKUP(B29,Table5Data!$A:$N,4,FALSE))</f>
        <v>4</v>
      </c>
      <c r="L29" s="38" t="str">
        <f t="shared" si="21"/>
        <v>increase</v>
      </c>
      <c r="M29" s="38">
        <f t="shared" si="22"/>
        <v>4</v>
      </c>
      <c r="N29" s="38" t="str">
        <f t="shared" si="23"/>
        <v>U Yukon Salmon Fish Wheel</v>
      </c>
      <c r="O29" s="43">
        <f>IF(ISNA(VLOOKUP(B29,Table5Data!$A:$N,2,FALSE)),"-",VLOOKUP(B29,Table5Data!$A:$N,5,FALSE))</f>
        <v>-2</v>
      </c>
      <c r="P29" s="38" t="str">
        <f t="shared" si="24"/>
        <v>decrease</v>
      </c>
      <c r="Q29" s="38">
        <f t="shared" si="25"/>
        <v>-2</v>
      </c>
      <c r="R29" s="38" t="str">
        <f t="shared" si="26"/>
        <v>U Yukon Salmon Fish Wheel</v>
      </c>
      <c r="S29" s="43">
        <f>IF(ISNA(VLOOKUP(B29,Table5Data!$A:$N,2,FALSE)),"-",VLOOKUP(B29,Table5Data!$A:$N,6,FALSE))</f>
        <v>-1</v>
      </c>
      <c r="T29" s="38" t="str">
        <f t="shared" si="27"/>
        <v>decrease</v>
      </c>
      <c r="U29" s="38">
        <f t="shared" si="28"/>
        <v>-1</v>
      </c>
      <c r="V29" s="38" t="str">
        <f t="shared" si="29"/>
        <v>U Yukon Salmon Fish Wheel</v>
      </c>
      <c r="W29" s="43">
        <f>IF(ISNA(VLOOKUP(B29,Table5Data!$A:$N,2,FALSE)),"-",VLOOKUP(B29,Table5Data!$A:$N,7,FALSE))</f>
        <v>0</v>
      </c>
    </row>
    <row r="30" spans="1:23" ht="15">
      <c r="A30" s="7" t="s">
        <v>228</v>
      </c>
      <c r="B30" s="7" t="s">
        <v>229</v>
      </c>
      <c r="C30" s="38">
        <f>IF(ISNA(VLOOKUP(B30,Table5Data!$A:$N,2,FALSE)),"-",VLOOKUP(B30,Table5Data!$A:$N,2,FALSE))</f>
        <v>26</v>
      </c>
      <c r="D30" s="38" t="str">
        <f t="shared" si="15"/>
        <v>increase</v>
      </c>
      <c r="E30" s="38">
        <f t="shared" si="16"/>
        <v>26</v>
      </c>
      <c r="F30" s="38" t="str">
        <f t="shared" si="17"/>
        <v>Kuskokwim Salmon Gillnet</v>
      </c>
      <c r="G30" s="43">
        <f>IF(ISNA(VLOOKUP(B30,Table5Data!$A:$N,2,FALSE)),"-",VLOOKUP(B30,Table5Data!$A:$N,3,FALSE))</f>
        <v>-7</v>
      </c>
      <c r="H30" s="38" t="str">
        <f t="shared" si="18"/>
        <v>decrease</v>
      </c>
      <c r="I30" s="38">
        <f t="shared" si="19"/>
        <v>-7</v>
      </c>
      <c r="J30" s="38" t="str">
        <f t="shared" si="20"/>
        <v>Kuskokwim Salmon Gillnet</v>
      </c>
      <c r="K30" s="43">
        <f>IF(ISNA(VLOOKUP(B30,Table5Data!$A:$N,2,FALSE)),"-",VLOOKUP(B30,Table5Data!$A:$N,4,FALSE))</f>
        <v>-5</v>
      </c>
      <c r="L30" s="38" t="str">
        <f t="shared" si="21"/>
        <v>decrease</v>
      </c>
      <c r="M30" s="38">
        <f t="shared" si="22"/>
        <v>-5</v>
      </c>
      <c r="N30" s="38" t="str">
        <f t="shared" si="23"/>
        <v>Kuskokwim Salmon Gillnet</v>
      </c>
      <c r="O30" s="43">
        <f>IF(ISNA(VLOOKUP(B30,Table5Data!$A:$N,2,FALSE)),"-",VLOOKUP(B30,Table5Data!$A:$N,5,FALSE))</f>
        <v>-14</v>
      </c>
      <c r="P30" s="38" t="str">
        <f t="shared" si="24"/>
        <v>decrease</v>
      </c>
      <c r="Q30" s="38">
        <f t="shared" si="25"/>
        <v>-14</v>
      </c>
      <c r="R30" s="38" t="str">
        <f t="shared" si="26"/>
        <v>Kuskokwim Salmon Gillnet</v>
      </c>
      <c r="S30" s="43">
        <f>IF(ISNA(VLOOKUP(B30,Table5Data!$A:$N,2,FALSE)),"-",VLOOKUP(B30,Table5Data!$A:$N,6,FALSE))</f>
        <v>0</v>
      </c>
      <c r="T30" s="38" t="str">
        <f t="shared" si="27"/>
        <v>constant</v>
      </c>
      <c r="U30" s="38">
        <f t="shared" si="28"/>
        <v>0</v>
      </c>
      <c r="V30" s="38" t="str">
        <f t="shared" si="29"/>
        <v>Kuskokwim Salmon Gillnet</v>
      </c>
      <c r="W30" s="43">
        <f>IF(ISNA(VLOOKUP(B30,Table5Data!$A:$N,2,FALSE)),"-",VLOOKUP(B30,Table5Data!$A:$N,7,FALSE))</f>
        <v>0</v>
      </c>
    </row>
    <row r="31" spans="1:23" ht="15">
      <c r="A31" s="7" t="s">
        <v>230</v>
      </c>
      <c r="B31" s="7" t="s">
        <v>231</v>
      </c>
      <c r="C31" s="38">
        <f>IF(ISNA(VLOOKUP(B31,Table5Data!$A:$N,2,FALSE)),"-",VLOOKUP(B31,Table5Data!$A:$N,2,FALSE))</f>
        <v>-7</v>
      </c>
      <c r="D31" s="38" t="str">
        <f t="shared" si="15"/>
        <v>decrease</v>
      </c>
      <c r="E31" s="38">
        <f t="shared" si="16"/>
        <v>-7</v>
      </c>
      <c r="F31" s="38" t="str">
        <f t="shared" si="17"/>
        <v>Kotzebue Salmon Gillnet</v>
      </c>
      <c r="G31" s="43">
        <f>IF(ISNA(VLOOKUP(B31,Table5Data!$A:$N,2,FALSE)),"-",VLOOKUP(B31,Table5Data!$A:$N,3,FALSE))</f>
        <v>1</v>
      </c>
      <c r="H31" s="38" t="str">
        <f t="shared" si="18"/>
        <v>increase</v>
      </c>
      <c r="I31" s="38">
        <f t="shared" si="19"/>
        <v>1</v>
      </c>
      <c r="J31" s="38" t="str">
        <f t="shared" si="20"/>
        <v>Kotzebue Salmon Gillnet</v>
      </c>
      <c r="K31" s="43">
        <f>IF(ISNA(VLOOKUP(B31,Table5Data!$A:$N,2,FALSE)),"-",VLOOKUP(B31,Table5Data!$A:$N,4,FALSE))</f>
        <v>12</v>
      </c>
      <c r="L31" s="38" t="str">
        <f t="shared" si="21"/>
        <v>increase</v>
      </c>
      <c r="M31" s="38">
        <f t="shared" si="22"/>
        <v>12</v>
      </c>
      <c r="N31" s="38" t="str">
        <f t="shared" si="23"/>
        <v>Kotzebue Salmon Gillnet</v>
      </c>
      <c r="O31" s="43">
        <f>IF(ISNA(VLOOKUP(B31,Table5Data!$A:$N,2,FALSE)),"-",VLOOKUP(B31,Table5Data!$A:$N,5,FALSE))</f>
        <v>-4</v>
      </c>
      <c r="P31" s="38" t="str">
        <f t="shared" si="24"/>
        <v>decrease</v>
      </c>
      <c r="Q31" s="38">
        <f t="shared" si="25"/>
        <v>-4</v>
      </c>
      <c r="R31" s="38" t="str">
        <f t="shared" si="26"/>
        <v>Kotzebue Salmon Gillnet</v>
      </c>
      <c r="S31" s="43">
        <f>IF(ISNA(VLOOKUP(B31,Table5Data!$A:$N,2,FALSE)),"-",VLOOKUP(B31,Table5Data!$A:$N,6,FALSE))</f>
        <v>-2</v>
      </c>
      <c r="T31" s="38" t="str">
        <f t="shared" si="27"/>
        <v>decrease</v>
      </c>
      <c r="U31" s="38">
        <f t="shared" si="28"/>
        <v>-2</v>
      </c>
      <c r="V31" s="38" t="str">
        <f t="shared" si="29"/>
        <v>Kotzebue Salmon Gillnet</v>
      </c>
      <c r="W31" s="43">
        <f>IF(ISNA(VLOOKUP(B31,Table5Data!$A:$N,2,FALSE)),"-",VLOOKUP(B31,Table5Data!$A:$N,7,FALSE))</f>
        <v>0</v>
      </c>
    </row>
    <row r="32" spans="1:23" ht="15">
      <c r="A32" s="7" t="s">
        <v>232</v>
      </c>
      <c r="B32" s="7" t="s">
        <v>233</v>
      </c>
      <c r="C32" s="38">
        <f>IF(ISNA(VLOOKUP(B32,Table5Data!$A:$N,2,FALSE)),"-",VLOOKUP(B32,Table5Data!$A:$N,2,FALSE))</f>
        <v>26</v>
      </c>
      <c r="D32" s="38" t="str">
        <f t="shared" si="15"/>
        <v>increase</v>
      </c>
      <c r="E32" s="38">
        <f t="shared" si="16"/>
        <v>26</v>
      </c>
      <c r="F32" s="38" t="str">
        <f t="shared" si="17"/>
        <v>Lower Yukon Salmon Gillnet</v>
      </c>
      <c r="G32" s="43">
        <f>IF(ISNA(VLOOKUP(B32,Table5Data!$A:$N,2,FALSE)),"-",VLOOKUP(B32,Table5Data!$A:$N,3,FALSE))</f>
        <v>-29</v>
      </c>
      <c r="H32" s="38" t="str">
        <f t="shared" si="18"/>
        <v>decrease</v>
      </c>
      <c r="I32" s="38">
        <f t="shared" si="19"/>
        <v>-29</v>
      </c>
      <c r="J32" s="38" t="str">
        <f t="shared" si="20"/>
        <v>Lower Yukon Salmon Gillnet</v>
      </c>
      <c r="K32" s="43">
        <f>IF(ISNA(VLOOKUP(B32,Table5Data!$A:$N,2,FALSE)),"-",VLOOKUP(B32,Table5Data!$A:$N,4,FALSE))</f>
        <v>0</v>
      </c>
      <c r="L32" s="38" t="str">
        <f t="shared" si="21"/>
        <v>constant</v>
      </c>
      <c r="M32" s="38">
        <f t="shared" si="22"/>
        <v>0</v>
      </c>
      <c r="N32" s="38" t="str">
        <f t="shared" si="23"/>
        <v>Lower Yukon Salmon Gillnet</v>
      </c>
      <c r="O32" s="43">
        <f>IF(ISNA(VLOOKUP(B32,Table5Data!$A:$N,2,FALSE)),"-",VLOOKUP(B32,Table5Data!$A:$N,5,FALSE))</f>
        <v>9</v>
      </c>
      <c r="P32" s="38" t="str">
        <f t="shared" si="24"/>
        <v>increase</v>
      </c>
      <c r="Q32" s="38">
        <f t="shared" si="25"/>
        <v>9</v>
      </c>
      <c r="R32" s="38" t="str">
        <f t="shared" si="26"/>
        <v>Lower Yukon Salmon Gillnet</v>
      </c>
      <c r="S32" s="43">
        <f>IF(ISNA(VLOOKUP(B32,Table5Data!$A:$N,2,FALSE)),"-",VLOOKUP(B32,Table5Data!$A:$N,6,FALSE))</f>
        <v>-6</v>
      </c>
      <c r="T32" s="38" t="str">
        <f t="shared" si="27"/>
        <v>decrease</v>
      </c>
      <c r="U32" s="38">
        <f t="shared" si="28"/>
        <v>-6</v>
      </c>
      <c r="V32" s="38" t="str">
        <f t="shared" si="29"/>
        <v>Lower Yukon Salmon Gillnet</v>
      </c>
      <c r="W32" s="43">
        <f>IF(ISNA(VLOOKUP(B32,Table5Data!$A:$N,2,FALSE)),"-",VLOOKUP(B32,Table5Data!$A:$N,7,FALSE))</f>
        <v>0</v>
      </c>
    </row>
    <row r="33" spans="1:23" ht="15">
      <c r="A33" s="7" t="s">
        <v>234</v>
      </c>
      <c r="B33" s="7" t="s">
        <v>235</v>
      </c>
      <c r="C33" s="72">
        <f>IF(ISNA(VLOOKUP(B33,Table5Data!$A:$N,2,FALSE)),"-",VLOOKUP(B33,Table5Data!$A:$N,2,FALSE))</f>
        <v>13</v>
      </c>
      <c r="D33" s="72" t="str">
        <f t="shared" si="15"/>
        <v>increase</v>
      </c>
      <c r="E33" s="72">
        <f t="shared" si="16"/>
        <v>13</v>
      </c>
      <c r="F33" s="72" t="str">
        <f t="shared" si="17"/>
        <v>Norton Sound Salmon Gillnet</v>
      </c>
      <c r="G33" s="124">
        <f>IF(ISNA(VLOOKUP(B33,Table5Data!$A:$N,2,FALSE)),"-",VLOOKUP(B33,Table5Data!$A:$N,3,FALSE))</f>
        <v>-5</v>
      </c>
      <c r="H33" s="72" t="str">
        <f t="shared" si="18"/>
        <v>decrease</v>
      </c>
      <c r="I33" s="72">
        <f t="shared" si="19"/>
        <v>-5</v>
      </c>
      <c r="J33" s="72" t="str">
        <f t="shared" si="20"/>
        <v>Norton Sound Salmon Gillnet</v>
      </c>
      <c r="K33" s="124">
        <f>IF(ISNA(VLOOKUP(B33,Table5Data!$A:$N,2,FALSE)),"-",VLOOKUP(B33,Table5Data!$A:$N,4,FALSE))</f>
        <v>-5</v>
      </c>
      <c r="L33" s="72" t="str">
        <f t="shared" si="21"/>
        <v>decrease</v>
      </c>
      <c r="M33" s="72">
        <f t="shared" si="22"/>
        <v>-5</v>
      </c>
      <c r="N33" s="72" t="str">
        <f t="shared" si="23"/>
        <v>Norton Sound Salmon Gillnet</v>
      </c>
      <c r="O33" s="124">
        <f>IF(ISNA(VLOOKUP(B33,Table5Data!$A:$N,2,FALSE)),"-",VLOOKUP(B33,Table5Data!$A:$N,5,FALSE))</f>
        <v>-5</v>
      </c>
      <c r="P33" s="72" t="str">
        <f t="shared" si="24"/>
        <v>decrease</v>
      </c>
      <c r="Q33" s="72">
        <f t="shared" si="25"/>
        <v>-5</v>
      </c>
      <c r="R33" s="72" t="str">
        <f t="shared" si="26"/>
        <v>Norton Sound Salmon Gillnet</v>
      </c>
      <c r="S33" s="124">
        <f>IF(ISNA(VLOOKUP(B33,Table5Data!$A:$N,2,FALSE)),"-",VLOOKUP(B33,Table5Data!$A:$N,6,FALSE))</f>
        <v>2</v>
      </c>
      <c r="T33" s="72" t="str">
        <f t="shared" si="27"/>
        <v>increase</v>
      </c>
      <c r="U33" s="72">
        <f t="shared" si="28"/>
        <v>2</v>
      </c>
      <c r="V33" s="72" t="str">
        <f t="shared" si="29"/>
        <v>Norton Sound Salmon Gillnet</v>
      </c>
      <c r="W33" s="124">
        <f>IF(ISNA(VLOOKUP(B33,Table5Data!$A:$N,2,FALSE)),"-",VLOOKUP(B33,Table5Data!$A:$N,7,FALSE))</f>
        <v>0</v>
      </c>
    </row>
    <row r="34" spans="1:23" ht="15">
      <c r="A34" s="7"/>
      <c r="B34" s="7"/>
      <c r="C34" s="44">
        <f>SUM(C28:C33)</f>
        <v>58</v>
      </c>
      <c r="D34" s="44"/>
      <c r="E34" s="44"/>
      <c r="F34" s="44"/>
      <c r="G34" s="44">
        <f>SUM(G28:G33)</f>
        <v>-44</v>
      </c>
      <c r="H34" s="44"/>
      <c r="I34" s="44"/>
      <c r="J34" s="44"/>
      <c r="K34" s="44">
        <f>SUM(K28:K33)</f>
        <v>9</v>
      </c>
      <c r="L34" s="44"/>
      <c r="M34" s="44"/>
      <c r="N34" s="44"/>
      <c r="O34" s="44">
        <f>SUM(O28:O33)</f>
        <v>-14</v>
      </c>
      <c r="P34" s="44"/>
      <c r="Q34" s="44"/>
      <c r="R34" s="44"/>
      <c r="S34" s="44">
        <f>SUM(S28:S33)</f>
        <v>-9</v>
      </c>
      <c r="T34" s="44"/>
      <c r="U34" s="44"/>
      <c r="V34" s="44"/>
      <c r="W34" s="44">
        <f>SUM(W28:W33)</f>
        <v>0</v>
      </c>
    </row>
    <row r="35" spans="1:23" ht="15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">
      <c r="A36" s="9" t="s">
        <v>236</v>
      </c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">
      <c r="A37" s="7" t="s">
        <v>237</v>
      </c>
      <c r="B37" s="7" t="s">
        <v>238</v>
      </c>
      <c r="C37" s="38">
        <f>IF(ISNA(VLOOKUP(B37,Table5Data!$A:$N,2,FALSE)),"-",VLOOKUP(B37,Table5Data!$A:$N,2,FALSE))</f>
        <v>2</v>
      </c>
      <c r="D37" s="38" t="str">
        <f>IF(C37&lt;0,"decrease",IF(C37=0,"constant","increase"))</f>
        <v>increase</v>
      </c>
      <c r="E37" s="38">
        <f>C37</f>
        <v>2</v>
      </c>
      <c r="F37" s="38" t="str">
        <f>A37</f>
        <v>SE Roe Herring Seine</v>
      </c>
      <c r="G37" s="43">
        <f>IF(ISNA(VLOOKUP(B37,Table5Data!$A:$N,2,FALSE)),"-",VLOOKUP(B37,Table5Data!$A:$N,3,FALSE))</f>
        <v>7</v>
      </c>
      <c r="H37" s="38" t="str">
        <f>IF(G37&lt;0,"decrease",IF(G37=0,"constant","increase"))</f>
        <v>increase</v>
      </c>
      <c r="I37" s="38">
        <f>G37</f>
        <v>7</v>
      </c>
      <c r="J37" s="38" t="str">
        <f>F37</f>
        <v>SE Roe Herring Seine</v>
      </c>
      <c r="K37" s="43">
        <f>IF(ISNA(VLOOKUP(B37,Table5Data!$A:$N,2,FALSE)),"-",VLOOKUP(B37,Table5Data!$A:$N,4,FALSE))</f>
        <v>-19</v>
      </c>
      <c r="L37" s="38" t="str">
        <f>IF(K37&lt;0,"decrease",IF(K37=0,"constant","increase"))</f>
        <v>decrease</v>
      </c>
      <c r="M37" s="38">
        <f>K37</f>
        <v>-19</v>
      </c>
      <c r="N37" s="38" t="str">
        <f>J37</f>
        <v>SE Roe Herring Seine</v>
      </c>
      <c r="O37" s="43">
        <f>IF(ISNA(VLOOKUP(B37,Table5Data!$A:$N,2,FALSE)),"-",VLOOKUP(B37,Table5Data!$A:$N,5,FALSE))</f>
        <v>5</v>
      </c>
      <c r="P37" s="38" t="str">
        <f>IF(O37&lt;0,"decrease",IF(O37=0,"constant","increase"))</f>
        <v>increase</v>
      </c>
      <c r="Q37" s="38">
        <f>O37</f>
        <v>5</v>
      </c>
      <c r="R37" s="38" t="str">
        <f>N37</f>
        <v>SE Roe Herring Seine</v>
      </c>
      <c r="S37" s="43">
        <f>IF(ISNA(VLOOKUP(B37,Table5Data!$A:$N,2,FALSE)),"-",VLOOKUP(B37,Table5Data!$A:$N,6,FALSE))</f>
        <v>5</v>
      </c>
      <c r="T37" s="38" t="str">
        <f>IF(S37&lt;0,"decrease",IF(S37=0,"constant","increase"))</f>
        <v>increase</v>
      </c>
      <c r="U37" s="38">
        <f>S37</f>
        <v>5</v>
      </c>
      <c r="V37" s="38" t="str">
        <f>R37</f>
        <v>SE Roe Herring Seine</v>
      </c>
      <c r="W37" s="43">
        <f>IF(ISNA(VLOOKUP(B37,Table5Data!$A:$N,2,FALSE)),"-",VLOOKUP(B37,Table5Data!$A:$N,7,FALSE))</f>
        <v>0</v>
      </c>
    </row>
    <row r="38" spans="1:23" ht="15">
      <c r="A38" s="7" t="s">
        <v>239</v>
      </c>
      <c r="B38" s="7" t="s">
        <v>240</v>
      </c>
      <c r="C38" s="38">
        <f>IF(ISNA(VLOOKUP(B38,Table5Data!$A:$N,2,FALSE)),"-",VLOOKUP(B38,Table5Data!$A:$N,2,FALSE))</f>
        <v>4</v>
      </c>
      <c r="D38" s="38" t="str">
        <f>IF(C38&lt;0,"decrease",IF(C38=0,"constant","increase"))</f>
        <v>increase</v>
      </c>
      <c r="E38" s="38">
        <f>C38</f>
        <v>4</v>
      </c>
      <c r="F38" s="38" t="str">
        <f>A38</f>
        <v>SE Herring Gillnet</v>
      </c>
      <c r="G38" s="43">
        <f>IF(ISNA(VLOOKUP(B38,Table5Data!$A:$N,2,FALSE)),"-",VLOOKUP(B38,Table5Data!$A:$N,3,FALSE))</f>
        <v>1</v>
      </c>
      <c r="H38" s="38" t="str">
        <f>IF(G38&lt;0,"decrease",IF(G38=0,"constant","increase"))</f>
        <v>increase</v>
      </c>
      <c r="I38" s="38">
        <f>G38</f>
        <v>1</v>
      </c>
      <c r="J38" s="38" t="str">
        <f>F38</f>
        <v>SE Herring Gillnet</v>
      </c>
      <c r="K38" s="43">
        <f>IF(ISNA(VLOOKUP(B38,Table5Data!$A:$N,2,FALSE)),"-",VLOOKUP(B38,Table5Data!$A:$N,4,FALSE))</f>
        <v>5</v>
      </c>
      <c r="L38" s="38" t="str">
        <f>IF(K38&lt;0,"decrease",IF(K38=0,"constant","increase"))</f>
        <v>increase</v>
      </c>
      <c r="M38" s="38">
        <f>K38</f>
        <v>5</v>
      </c>
      <c r="N38" s="38" t="str">
        <f>J38</f>
        <v>SE Herring Gillnet</v>
      </c>
      <c r="O38" s="43">
        <f>IF(ISNA(VLOOKUP(B38,Table5Data!$A:$N,2,FALSE)),"-",VLOOKUP(B38,Table5Data!$A:$N,5,FALSE))</f>
        <v>0</v>
      </c>
      <c r="P38" s="38" t="str">
        <f>IF(O38&lt;0,"decrease",IF(O38=0,"constant","increase"))</f>
        <v>constant</v>
      </c>
      <c r="Q38" s="38">
        <f>O38</f>
        <v>0</v>
      </c>
      <c r="R38" s="38" t="str">
        <f>N38</f>
        <v>SE Herring Gillnet</v>
      </c>
      <c r="S38" s="43">
        <f>IF(ISNA(VLOOKUP(B38,Table5Data!$A:$N,2,FALSE)),"-",VLOOKUP(B38,Table5Data!$A:$N,6,FALSE))</f>
        <v>-10</v>
      </c>
      <c r="T38" s="38" t="str">
        <f>IF(S38&lt;0,"decrease",IF(S38=0,"constant","increase"))</f>
        <v>decrease</v>
      </c>
      <c r="U38" s="38">
        <f>S38</f>
        <v>-10</v>
      </c>
      <c r="V38" s="38" t="str">
        <f>R38</f>
        <v>SE Herring Gillnet</v>
      </c>
      <c r="W38" s="43">
        <f>IF(ISNA(VLOOKUP(B38,Table5Data!$A:$N,2,FALSE)),"-",VLOOKUP(B38,Table5Data!$A:$N,7,FALSE))</f>
        <v>0</v>
      </c>
    </row>
    <row r="39" spans="1:23" ht="15">
      <c r="A39" s="7" t="s">
        <v>241</v>
      </c>
      <c r="B39" s="7" t="s">
        <v>242</v>
      </c>
      <c r="C39" s="38">
        <f>IF(ISNA(VLOOKUP(B39,Table5Data!$A:$N,2,FALSE)),"-",VLOOKUP(B39,Table5Data!$A:$N,2,FALSE))</f>
        <v>6</v>
      </c>
      <c r="D39" s="38" t="str">
        <f>IF(C39&lt;0,"decrease",IF(C39=0,"constant","increase"))</f>
        <v>increase</v>
      </c>
      <c r="E39" s="38">
        <f>C39</f>
        <v>6</v>
      </c>
      <c r="F39" s="38" t="str">
        <f>A39</f>
        <v>PWS Roe Herring Seine</v>
      </c>
      <c r="G39" s="43">
        <f>IF(ISNA(VLOOKUP(B39,Table5Data!$A:$N,2,FALSE)),"-",VLOOKUP(B39,Table5Data!$A:$N,3,FALSE))</f>
        <v>-7</v>
      </c>
      <c r="H39" s="38" t="str">
        <f>IF(G39&lt;0,"decrease",IF(G39=0,"constant","increase"))</f>
        <v>decrease</v>
      </c>
      <c r="I39" s="38">
        <f>G39</f>
        <v>-7</v>
      </c>
      <c r="J39" s="38" t="str">
        <f>F39</f>
        <v>PWS Roe Herring Seine</v>
      </c>
      <c r="K39" s="43">
        <f>IF(ISNA(VLOOKUP(B39,Table5Data!$A:$N,2,FALSE)),"-",VLOOKUP(B39,Table5Data!$A:$N,4,FALSE))</f>
        <v>0</v>
      </c>
      <c r="L39" s="38" t="str">
        <f>IF(K39&lt;0,"decrease",IF(K39=0,"constant","increase"))</f>
        <v>constant</v>
      </c>
      <c r="M39" s="38">
        <f>K39</f>
        <v>0</v>
      </c>
      <c r="N39" s="38" t="str">
        <f>J39</f>
        <v>PWS Roe Herring Seine</v>
      </c>
      <c r="O39" s="43">
        <f>IF(ISNA(VLOOKUP(B39,Table5Data!$A:$N,2,FALSE)),"-",VLOOKUP(B39,Table5Data!$A:$N,5,FALSE))</f>
        <v>8</v>
      </c>
      <c r="P39" s="38" t="str">
        <f>IF(O39&lt;0,"decrease",IF(O39=0,"constant","increase"))</f>
        <v>increase</v>
      </c>
      <c r="Q39" s="38">
        <f>O39</f>
        <v>8</v>
      </c>
      <c r="R39" s="38" t="str">
        <f>N39</f>
        <v>PWS Roe Herring Seine</v>
      </c>
      <c r="S39" s="43">
        <f>IF(ISNA(VLOOKUP(B39,Table5Data!$A:$N,2,FALSE)),"-",VLOOKUP(B39,Table5Data!$A:$N,6,FALSE))</f>
        <v>-7</v>
      </c>
      <c r="T39" s="38" t="str">
        <f>IF(S39&lt;0,"decrease",IF(S39=0,"constant","increase"))</f>
        <v>decrease</v>
      </c>
      <c r="U39" s="38">
        <f>S39</f>
        <v>-7</v>
      </c>
      <c r="V39" s="38" t="str">
        <f>R39</f>
        <v>PWS Roe Herring Seine</v>
      </c>
      <c r="W39" s="43">
        <f>IF(ISNA(VLOOKUP(B39,Table5Data!$A:$N,2,FALSE)),"-",VLOOKUP(B39,Table5Data!$A:$N,7,FALSE))</f>
        <v>0</v>
      </c>
    </row>
    <row r="40" spans="1:23" ht="15">
      <c r="A40" s="7" t="s">
        <v>243</v>
      </c>
      <c r="B40" s="7" t="s">
        <v>244</v>
      </c>
      <c r="C40" s="72">
        <f>IF(ISNA(VLOOKUP(B40,Table5Data!$A:$N,2,FALSE)),"-",VLOOKUP(B40,Table5Data!$A:$N,2,FALSE))</f>
        <v>-8</v>
      </c>
      <c r="D40" s="72" t="str">
        <f>IF(C40&lt;0,"decrease",IF(C40=0,"constant","increase"))</f>
        <v>decrease</v>
      </c>
      <c r="E40" s="72">
        <f>C40</f>
        <v>-8</v>
      </c>
      <c r="F40" s="72" t="str">
        <f>A40</f>
        <v>Cook Inlet Herring Seine</v>
      </c>
      <c r="G40" s="124">
        <f>IF(ISNA(VLOOKUP(B40,Table5Data!$A:$N,2,FALSE)),"-",VLOOKUP(B40,Table5Data!$A:$N,3,FALSE))</f>
        <v>-1</v>
      </c>
      <c r="H40" s="72" t="str">
        <f>IF(G40&lt;0,"decrease",IF(G40=0,"constant","increase"))</f>
        <v>decrease</v>
      </c>
      <c r="I40" s="72">
        <f>G40</f>
        <v>-1</v>
      </c>
      <c r="J40" s="72" t="str">
        <f>F40</f>
        <v>Cook Inlet Herring Seine</v>
      </c>
      <c r="K40" s="124">
        <f>IF(ISNA(VLOOKUP(B40,Table5Data!$A:$N,2,FALSE)),"-",VLOOKUP(B40,Table5Data!$A:$N,4,FALSE))</f>
        <v>-1</v>
      </c>
      <c r="L40" s="72" t="str">
        <f>IF(K40&lt;0,"decrease",IF(K40=0,"constant","increase"))</f>
        <v>decrease</v>
      </c>
      <c r="M40" s="72">
        <f>K40</f>
        <v>-1</v>
      </c>
      <c r="N40" s="72" t="str">
        <f>J40</f>
        <v>Cook Inlet Herring Seine</v>
      </c>
      <c r="O40" s="124">
        <f>IF(ISNA(VLOOKUP(B40,Table5Data!$A:$N,2,FALSE)),"-",VLOOKUP(B40,Table5Data!$A:$N,5,FALSE))</f>
        <v>13</v>
      </c>
      <c r="P40" s="72" t="str">
        <f>IF(O40&lt;0,"decrease",IF(O40=0,"constant","increase"))</f>
        <v>increase</v>
      </c>
      <c r="Q40" s="72">
        <f>O40</f>
        <v>13</v>
      </c>
      <c r="R40" s="72" t="str">
        <f>N40</f>
        <v>Cook Inlet Herring Seine</v>
      </c>
      <c r="S40" s="124">
        <f>IF(ISNA(VLOOKUP(B40,Table5Data!$A:$N,2,FALSE)),"-",VLOOKUP(B40,Table5Data!$A:$N,6,FALSE))</f>
        <v>-3</v>
      </c>
      <c r="T40" s="72" t="str">
        <f>IF(S40&lt;0,"decrease",IF(S40=0,"constant","increase"))</f>
        <v>decrease</v>
      </c>
      <c r="U40" s="72">
        <f>S40</f>
        <v>-3</v>
      </c>
      <c r="V40" s="72" t="str">
        <f>R40</f>
        <v>Cook Inlet Herring Seine</v>
      </c>
      <c r="W40" s="124">
        <f>IF(ISNA(VLOOKUP(B40,Table5Data!$A:$N,2,FALSE)),"-",VLOOKUP(B40,Table5Data!$A:$N,7,FALSE))</f>
        <v>0</v>
      </c>
    </row>
    <row r="41" spans="1:23" ht="15">
      <c r="A41" s="7"/>
      <c r="B41" s="7"/>
      <c r="C41" s="44">
        <f>SUM(C37:C40)</f>
        <v>4</v>
      </c>
      <c r="D41" s="44"/>
      <c r="E41" s="44"/>
      <c r="F41" s="44"/>
      <c r="G41" s="44">
        <f>SUM(G37:G40)</f>
        <v>0</v>
      </c>
      <c r="H41" s="44"/>
      <c r="I41" s="44"/>
      <c r="J41" s="44"/>
      <c r="K41" s="44">
        <f>SUM(K37:K40)</f>
        <v>-15</v>
      </c>
      <c r="L41" s="44"/>
      <c r="M41" s="44"/>
      <c r="N41" s="44"/>
      <c r="O41" s="44">
        <f>SUM(O37:O40)</f>
        <v>26</v>
      </c>
      <c r="P41" s="44"/>
      <c r="Q41" s="44"/>
      <c r="R41" s="44"/>
      <c r="S41" s="44">
        <f>SUM(S37:S40)</f>
        <v>-15</v>
      </c>
      <c r="T41" s="44"/>
      <c r="U41" s="44"/>
      <c r="V41" s="44"/>
      <c r="W41" s="44">
        <f>SUM(W37:W40)</f>
        <v>0</v>
      </c>
    </row>
    <row r="42" spans="1:23" ht="15">
      <c r="A42" s="8"/>
      <c r="B42" s="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">
      <c r="A43" s="9" t="s">
        <v>245</v>
      </c>
      <c r="B43" s="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">
      <c r="A44" s="7" t="s">
        <v>246</v>
      </c>
      <c r="B44" s="7" t="s">
        <v>247</v>
      </c>
      <c r="C44" s="38">
        <f>IF(ISNA(VLOOKUP(B44,Table5Data!$A:$N,2,FALSE)),"-",VLOOKUP(B44,Table5Data!$A:$N,2,FALSE))</f>
        <v>-28</v>
      </c>
      <c r="D44" s="38" t="str">
        <f aca="true" t="shared" si="30" ref="D44:D59">IF(C44&lt;0,"decrease",IF(C44=0,"constant","increase"))</f>
        <v>decrease</v>
      </c>
      <c r="E44" s="38">
        <f aca="true" t="shared" si="31" ref="E44:E59">C44</f>
        <v>-28</v>
      </c>
      <c r="F44" s="38" t="str">
        <f aca="true" t="shared" si="32" ref="F44:F59">A44</f>
        <v>Salmon Hand Troll</v>
      </c>
      <c r="G44" s="43">
        <f>IF(ISNA(VLOOKUP(B44,Table5Data!$A:$N,2,FALSE)),"-",VLOOKUP(B44,Table5Data!$A:$N,3,FALSE))</f>
        <v>5</v>
      </c>
      <c r="H44" s="38" t="str">
        <f aca="true" t="shared" si="33" ref="H44:H59">IF(G44&lt;0,"decrease",IF(G44=0,"constant","increase"))</f>
        <v>increase</v>
      </c>
      <c r="I44" s="38">
        <f aca="true" t="shared" si="34" ref="I44:I59">G44</f>
        <v>5</v>
      </c>
      <c r="J44" s="38" t="str">
        <f>F44</f>
        <v>Salmon Hand Troll</v>
      </c>
      <c r="K44" s="43">
        <f>IF(ISNA(VLOOKUP(B44,Table5Data!$A:$N,2,FALSE)),"-",VLOOKUP(B44,Table5Data!$A:$N,4,FALSE))</f>
        <v>-16</v>
      </c>
      <c r="L44" s="38" t="str">
        <f aca="true" t="shared" si="35" ref="L44:L59">IF(K44&lt;0,"decrease",IF(K44=0,"constant","increase"))</f>
        <v>decrease</v>
      </c>
      <c r="M44" s="38">
        <f aca="true" t="shared" si="36" ref="M44:M59">K44</f>
        <v>-16</v>
      </c>
      <c r="N44" s="38" t="str">
        <f>J44</f>
        <v>Salmon Hand Troll</v>
      </c>
      <c r="O44" s="43">
        <f>IF(ISNA(VLOOKUP(B44,Table5Data!$A:$N,2,FALSE)),"-",VLOOKUP(B44,Table5Data!$A:$N,5,FALSE))</f>
        <v>-3</v>
      </c>
      <c r="P44" s="38" t="str">
        <f aca="true" t="shared" si="37" ref="P44:P59">IF(O44&lt;0,"decrease",IF(O44=0,"constant","increase"))</f>
        <v>decrease</v>
      </c>
      <c r="Q44" s="38">
        <f aca="true" t="shared" si="38" ref="Q44:Q59">O44</f>
        <v>-3</v>
      </c>
      <c r="R44" s="38" t="str">
        <f>N44</f>
        <v>Salmon Hand Troll</v>
      </c>
      <c r="S44" s="43">
        <f>IF(ISNA(VLOOKUP(B44,Table5Data!$A:$N,2,FALSE)),"-",VLOOKUP(B44,Table5Data!$A:$N,6,FALSE))</f>
        <v>42</v>
      </c>
      <c r="T44" s="38" t="str">
        <f aca="true" t="shared" si="39" ref="T44:T59">IF(S44&lt;0,"decrease",IF(S44=0,"constant","increase"))</f>
        <v>increase</v>
      </c>
      <c r="U44" s="38">
        <f aca="true" t="shared" si="40" ref="U44:U59">S44</f>
        <v>42</v>
      </c>
      <c r="V44" s="38" t="str">
        <f>R44</f>
        <v>Salmon Hand Troll</v>
      </c>
      <c r="W44" s="43">
        <f>IF(ISNA(VLOOKUP(B44,Table5Data!$A:$N,2,FALSE)),"-",VLOOKUP(B44,Table5Data!$A:$N,7,FALSE))</f>
        <v>0</v>
      </c>
    </row>
    <row r="45" spans="1:23" ht="15">
      <c r="A45" s="7" t="s">
        <v>248</v>
      </c>
      <c r="B45" s="7" t="s">
        <v>249</v>
      </c>
      <c r="C45" s="38">
        <f>IF(ISNA(VLOOKUP(B45,Table5Data!$A:$N,2,FALSE)),"-",VLOOKUP(B45,Table5Data!$A:$N,2,FALSE))</f>
        <v>5</v>
      </c>
      <c r="D45" s="38" t="str">
        <f t="shared" si="30"/>
        <v>increase</v>
      </c>
      <c r="E45" s="38">
        <f t="shared" si="31"/>
        <v>5</v>
      </c>
      <c r="F45" s="38" t="str">
        <f t="shared" si="32"/>
        <v>NSEI Sablefish Longline</v>
      </c>
      <c r="G45" s="43">
        <f>IF(ISNA(VLOOKUP(B45,Table5Data!$A:$N,2,FALSE)),"-",VLOOKUP(B45,Table5Data!$A:$N,3,FALSE))</f>
        <v>1</v>
      </c>
      <c r="H45" s="38" t="str">
        <f t="shared" si="33"/>
        <v>increase</v>
      </c>
      <c r="I45" s="38">
        <f t="shared" si="34"/>
        <v>1</v>
      </c>
      <c r="J45" s="38" t="str">
        <f aca="true" t="shared" si="41" ref="J45:J59">F45</f>
        <v>NSEI Sablefish Longline</v>
      </c>
      <c r="K45" s="43">
        <f>IF(ISNA(VLOOKUP(B45,Table5Data!$A:$N,2,FALSE)),"-",VLOOKUP(B45,Table5Data!$A:$N,4,FALSE))</f>
        <v>3</v>
      </c>
      <c r="L45" s="38" t="str">
        <f t="shared" si="35"/>
        <v>increase</v>
      </c>
      <c r="M45" s="38">
        <f t="shared" si="36"/>
        <v>3</v>
      </c>
      <c r="N45" s="38" t="str">
        <f aca="true" t="shared" si="42" ref="N45:N59">J45</f>
        <v>NSEI Sablefish Longline</v>
      </c>
      <c r="O45" s="43">
        <f>IF(ISNA(VLOOKUP(B45,Table5Data!$A:$N,2,FALSE)),"-",VLOOKUP(B45,Table5Data!$A:$N,5,FALSE))</f>
        <v>-2</v>
      </c>
      <c r="P45" s="38" t="str">
        <f t="shared" si="37"/>
        <v>decrease</v>
      </c>
      <c r="Q45" s="38">
        <f t="shared" si="38"/>
        <v>-2</v>
      </c>
      <c r="R45" s="38" t="str">
        <f aca="true" t="shared" si="43" ref="R45:R59">N45</f>
        <v>NSEI Sablefish Longline</v>
      </c>
      <c r="S45" s="43">
        <f>IF(ISNA(VLOOKUP(B45,Table5Data!$A:$N,2,FALSE)),"-",VLOOKUP(B45,Table5Data!$A:$N,6,FALSE))</f>
        <v>-7</v>
      </c>
      <c r="T45" s="38" t="str">
        <f t="shared" si="39"/>
        <v>decrease</v>
      </c>
      <c r="U45" s="38">
        <f t="shared" si="40"/>
        <v>-7</v>
      </c>
      <c r="V45" s="38" t="str">
        <f aca="true" t="shared" si="44" ref="V45:V59">R45</f>
        <v>NSEI Sablefish Longline</v>
      </c>
      <c r="W45" s="43">
        <f>IF(ISNA(VLOOKUP(B45,Table5Data!$A:$N,2,FALSE)),"-",VLOOKUP(B45,Table5Data!$A:$N,7,FALSE))</f>
        <v>0</v>
      </c>
    </row>
    <row r="46" spans="1:23" ht="15">
      <c r="A46" s="7" t="s">
        <v>250</v>
      </c>
      <c r="B46" s="7" t="s">
        <v>251</v>
      </c>
      <c r="C46" s="38">
        <f>IF(ISNA(VLOOKUP(B46,Table5Data!$A:$N,2,FALSE)),"-",VLOOKUP(B46,Table5Data!$A:$N,2,FALSE))</f>
        <v>0</v>
      </c>
      <c r="D46" s="38" t="str">
        <f t="shared" si="30"/>
        <v>constant</v>
      </c>
      <c r="E46" s="38">
        <f t="shared" si="31"/>
        <v>0</v>
      </c>
      <c r="F46" s="38" t="str">
        <f t="shared" si="32"/>
        <v>SSEI Sablefish Longline</v>
      </c>
      <c r="G46" s="43">
        <f>IF(ISNA(VLOOKUP(B46,Table5Data!$A:$N,2,FALSE)),"-",VLOOKUP(B46,Table5Data!$A:$N,3,FALSE))</f>
        <v>1</v>
      </c>
      <c r="H46" s="38" t="str">
        <f t="shared" si="33"/>
        <v>increase</v>
      </c>
      <c r="I46" s="38">
        <f t="shared" si="34"/>
        <v>1</v>
      </c>
      <c r="J46" s="38" t="str">
        <f t="shared" si="41"/>
        <v>SSEI Sablefish Longline</v>
      </c>
      <c r="K46" s="43">
        <f>IF(ISNA(VLOOKUP(B46,Table5Data!$A:$N,2,FALSE)),"-",VLOOKUP(B46,Table5Data!$A:$N,4,FALSE))</f>
        <v>2</v>
      </c>
      <c r="L46" s="38" t="str">
        <f t="shared" si="35"/>
        <v>increase</v>
      </c>
      <c r="M46" s="38">
        <f t="shared" si="36"/>
        <v>2</v>
      </c>
      <c r="N46" s="38" t="str">
        <f t="shared" si="42"/>
        <v>SSEI Sablefish Longline</v>
      </c>
      <c r="O46" s="43">
        <f>IF(ISNA(VLOOKUP(B46,Table5Data!$A:$N,2,FALSE)),"-",VLOOKUP(B46,Table5Data!$A:$N,5,FALSE))</f>
        <v>-1</v>
      </c>
      <c r="P46" s="38" t="str">
        <f t="shared" si="37"/>
        <v>decrease</v>
      </c>
      <c r="Q46" s="38">
        <f t="shared" si="38"/>
        <v>-1</v>
      </c>
      <c r="R46" s="38" t="str">
        <f t="shared" si="43"/>
        <v>SSEI Sablefish Longline</v>
      </c>
      <c r="S46" s="43">
        <f>IF(ISNA(VLOOKUP(B46,Table5Data!$A:$N,2,FALSE)),"-",VLOOKUP(B46,Table5Data!$A:$N,6,FALSE))</f>
        <v>-2</v>
      </c>
      <c r="T46" s="38" t="str">
        <f t="shared" si="39"/>
        <v>decrease</v>
      </c>
      <c r="U46" s="38">
        <f t="shared" si="40"/>
        <v>-2</v>
      </c>
      <c r="V46" s="38" t="str">
        <f t="shared" si="44"/>
        <v>SSEI Sablefish Longline</v>
      </c>
      <c r="W46" s="43">
        <f>IF(ISNA(VLOOKUP(B46,Table5Data!$A:$N,2,FALSE)),"-",VLOOKUP(B46,Table5Data!$A:$N,7,FALSE))</f>
        <v>0</v>
      </c>
    </row>
    <row r="47" spans="1:23" ht="15">
      <c r="A47" s="7" t="s">
        <v>252</v>
      </c>
      <c r="B47" s="7" t="s">
        <v>253</v>
      </c>
      <c r="C47" s="38">
        <f>IF(ISNA(VLOOKUP(B47,Table5Data!$A:$N,2,FALSE)),"-",VLOOKUP(B47,Table5Data!$A:$N,2,FALSE))</f>
        <v>1</v>
      </c>
      <c r="D47" s="38" t="str">
        <f t="shared" si="30"/>
        <v>increase</v>
      </c>
      <c r="E47" s="38">
        <f t="shared" si="31"/>
        <v>1</v>
      </c>
      <c r="F47" s="38" t="str">
        <f t="shared" si="32"/>
        <v>SSEI Sablefish Pots</v>
      </c>
      <c r="G47" s="43">
        <f>IF(ISNA(VLOOKUP(B47,Table5Data!$A:$N,2,FALSE)),"-",VLOOKUP(B47,Table5Data!$A:$N,3,FALSE))</f>
        <v>0</v>
      </c>
      <c r="H47" s="38" t="str">
        <f t="shared" si="33"/>
        <v>constant</v>
      </c>
      <c r="I47" s="38">
        <f t="shared" si="34"/>
        <v>0</v>
      </c>
      <c r="J47" s="38" t="str">
        <f t="shared" si="41"/>
        <v>SSEI Sablefish Pots</v>
      </c>
      <c r="K47" s="43">
        <f>IF(ISNA(VLOOKUP(B47,Table5Data!$A:$N,2,FALSE)),"-",VLOOKUP(B47,Table5Data!$A:$N,4,FALSE))</f>
        <v>-1</v>
      </c>
      <c r="L47" s="38" t="str">
        <f t="shared" si="35"/>
        <v>decrease</v>
      </c>
      <c r="M47" s="38">
        <f t="shared" si="36"/>
        <v>-1</v>
      </c>
      <c r="N47" s="38" t="str">
        <f t="shared" si="42"/>
        <v>SSEI Sablefish Pots</v>
      </c>
      <c r="O47" s="43">
        <f>IF(ISNA(VLOOKUP(B47,Table5Data!$A:$N,2,FALSE)),"-",VLOOKUP(B47,Table5Data!$A:$N,5,FALSE))</f>
        <v>0</v>
      </c>
      <c r="P47" s="38" t="str">
        <f t="shared" si="37"/>
        <v>constant</v>
      </c>
      <c r="Q47" s="38">
        <f t="shared" si="38"/>
        <v>0</v>
      </c>
      <c r="R47" s="38" t="str">
        <f t="shared" si="43"/>
        <v>SSEI Sablefish Pots</v>
      </c>
      <c r="S47" s="43">
        <f>IF(ISNA(VLOOKUP(B47,Table5Data!$A:$N,2,FALSE)),"-",VLOOKUP(B47,Table5Data!$A:$N,6,FALSE))</f>
        <v>0</v>
      </c>
      <c r="T47" s="38" t="str">
        <f t="shared" si="39"/>
        <v>constant</v>
      </c>
      <c r="U47" s="38">
        <f t="shared" si="40"/>
        <v>0</v>
      </c>
      <c r="V47" s="38" t="str">
        <f t="shared" si="44"/>
        <v>SSEI Sablefish Pots</v>
      </c>
      <c r="W47" s="43">
        <f>IF(ISNA(VLOOKUP(B47,Table5Data!$A:$N,2,FALSE)),"-",VLOOKUP(B47,Table5Data!$A:$N,7,FALSE))</f>
        <v>0</v>
      </c>
    </row>
    <row r="48" spans="1:23" ht="15">
      <c r="A48" s="7" t="s">
        <v>254</v>
      </c>
      <c r="B48" s="7" t="s">
        <v>255</v>
      </c>
      <c r="C48" s="38">
        <f>IF(ISNA(VLOOKUP(B48,Table5Data!$A:$N,2,FALSE)),"-",VLOOKUP(B48,Table5Data!$A:$N,2,FALSE))</f>
        <v>-1</v>
      </c>
      <c r="D48" s="38" t="str">
        <f t="shared" si="30"/>
        <v>decrease</v>
      </c>
      <c r="E48" s="38">
        <f t="shared" si="31"/>
        <v>-1</v>
      </c>
      <c r="F48" s="38" t="str">
        <f t="shared" si="32"/>
        <v>SE Red,Blue King Crab Pot</v>
      </c>
      <c r="G48" s="43">
        <f>IF(ISNA(VLOOKUP(B48,Table5Data!$A:$N,2,FALSE)),"-",VLOOKUP(B48,Table5Data!$A:$N,3,FALSE))</f>
        <v>0</v>
      </c>
      <c r="H48" s="38" t="str">
        <f t="shared" si="33"/>
        <v>constant</v>
      </c>
      <c r="I48" s="38">
        <f t="shared" si="34"/>
        <v>0</v>
      </c>
      <c r="J48" s="38" t="str">
        <f t="shared" si="41"/>
        <v>SE Red,Blue King Crab Pot</v>
      </c>
      <c r="K48" s="43">
        <f>IF(ISNA(VLOOKUP(B48,Table5Data!$A:$N,2,FALSE)),"-",VLOOKUP(B48,Table5Data!$A:$N,4,FALSE))</f>
        <v>3</v>
      </c>
      <c r="L48" s="38" t="str">
        <f t="shared" si="35"/>
        <v>increase</v>
      </c>
      <c r="M48" s="38">
        <f t="shared" si="36"/>
        <v>3</v>
      </c>
      <c r="N48" s="38" t="str">
        <f t="shared" si="42"/>
        <v>SE Red,Blue King Crab Pot</v>
      </c>
      <c r="O48" s="43">
        <f>IF(ISNA(VLOOKUP(B48,Table5Data!$A:$N,2,FALSE)),"-",VLOOKUP(B48,Table5Data!$A:$N,5,FALSE))</f>
        <v>0</v>
      </c>
      <c r="P48" s="38" t="str">
        <f t="shared" si="37"/>
        <v>constant</v>
      </c>
      <c r="Q48" s="38">
        <f t="shared" si="38"/>
        <v>0</v>
      </c>
      <c r="R48" s="38" t="str">
        <f t="shared" si="43"/>
        <v>SE Red,Blue King Crab Pot</v>
      </c>
      <c r="S48" s="43">
        <f>IF(ISNA(VLOOKUP(B48,Table5Data!$A:$N,2,FALSE)),"-",VLOOKUP(B48,Table5Data!$A:$N,6,FALSE))</f>
        <v>-2</v>
      </c>
      <c r="T48" s="38" t="str">
        <f t="shared" si="39"/>
        <v>decrease</v>
      </c>
      <c r="U48" s="38">
        <f t="shared" si="40"/>
        <v>-2</v>
      </c>
      <c r="V48" s="38" t="str">
        <f t="shared" si="44"/>
        <v>SE Red,Blue King Crab Pot</v>
      </c>
      <c r="W48" s="43">
        <f>IF(ISNA(VLOOKUP(B48,Table5Data!$A:$N,2,FALSE)),"-",VLOOKUP(B48,Table5Data!$A:$N,7,FALSE))</f>
        <v>0</v>
      </c>
    </row>
    <row r="49" spans="1:23" ht="15">
      <c r="A49" s="7" t="s">
        <v>256</v>
      </c>
      <c r="B49" s="7" t="s">
        <v>257</v>
      </c>
      <c r="C49" s="38">
        <f>IF(ISNA(VLOOKUP(B49,Table5Data!$A:$N,2,FALSE)),"-",VLOOKUP(B49,Table5Data!$A:$N,2,FALSE))</f>
        <v>1</v>
      </c>
      <c r="D49" s="38" t="str">
        <f t="shared" si="30"/>
        <v>increase</v>
      </c>
      <c r="E49" s="38">
        <f t="shared" si="31"/>
        <v>1</v>
      </c>
      <c r="F49" s="38" t="str">
        <f t="shared" si="32"/>
        <v>SE Red,Blue,Brn Kng Crb Pot</v>
      </c>
      <c r="G49" s="43">
        <f>IF(ISNA(VLOOKUP(B49,Table5Data!$A:$N,2,FALSE)),"-",VLOOKUP(B49,Table5Data!$A:$N,3,FALSE))</f>
        <v>0</v>
      </c>
      <c r="H49" s="38" t="str">
        <f t="shared" si="33"/>
        <v>constant</v>
      </c>
      <c r="I49" s="38">
        <f t="shared" si="34"/>
        <v>0</v>
      </c>
      <c r="J49" s="38" t="str">
        <f t="shared" si="41"/>
        <v>SE Red,Blue,Brn Kng Crb Pot</v>
      </c>
      <c r="K49" s="43">
        <f>IF(ISNA(VLOOKUP(B49,Table5Data!$A:$N,2,FALSE)),"-",VLOOKUP(B49,Table5Data!$A:$N,4,FALSE))</f>
        <v>0</v>
      </c>
      <c r="L49" s="38" t="str">
        <f t="shared" si="35"/>
        <v>constant</v>
      </c>
      <c r="M49" s="38">
        <f t="shared" si="36"/>
        <v>0</v>
      </c>
      <c r="N49" s="38" t="str">
        <f t="shared" si="42"/>
        <v>SE Red,Blue,Brn Kng Crb Pot</v>
      </c>
      <c r="O49" s="43">
        <f>IF(ISNA(VLOOKUP(B49,Table5Data!$A:$N,2,FALSE)),"-",VLOOKUP(B49,Table5Data!$A:$N,5,FALSE))</f>
        <v>0</v>
      </c>
      <c r="P49" s="38" t="str">
        <f t="shared" si="37"/>
        <v>constant</v>
      </c>
      <c r="Q49" s="38">
        <f t="shared" si="38"/>
        <v>0</v>
      </c>
      <c r="R49" s="38" t="str">
        <f t="shared" si="43"/>
        <v>SE Red,Blue,Brn Kng Crb Pot</v>
      </c>
      <c r="S49" s="43">
        <f>IF(ISNA(VLOOKUP(B49,Table5Data!$A:$N,2,FALSE)),"-",VLOOKUP(B49,Table5Data!$A:$N,6,FALSE))</f>
        <v>-1</v>
      </c>
      <c r="T49" s="38" t="str">
        <f t="shared" si="39"/>
        <v>decrease</v>
      </c>
      <c r="U49" s="38">
        <f t="shared" si="40"/>
        <v>-1</v>
      </c>
      <c r="V49" s="38" t="str">
        <f t="shared" si="44"/>
        <v>SE Red,Blue,Brn Kng Crb Pot</v>
      </c>
      <c r="W49" s="43">
        <f>IF(ISNA(VLOOKUP(B49,Table5Data!$A:$N,2,FALSE)),"-",VLOOKUP(B49,Table5Data!$A:$N,7,FALSE))</f>
        <v>0</v>
      </c>
    </row>
    <row r="50" spans="1:23" ht="15">
      <c r="A50" s="7" t="s">
        <v>258</v>
      </c>
      <c r="B50" s="7" t="s">
        <v>259</v>
      </c>
      <c r="C50" s="38">
        <f>IF(ISNA(VLOOKUP(B50,Table5Data!$A:$N,2,FALSE)),"-",VLOOKUP(B50,Table5Data!$A:$N,2,FALSE))</f>
        <v>0</v>
      </c>
      <c r="D50" s="38" t="str">
        <f t="shared" si="30"/>
        <v>constant</v>
      </c>
      <c r="E50" s="38">
        <f t="shared" si="31"/>
        <v>0</v>
      </c>
      <c r="F50" s="38" t="str">
        <f t="shared" si="32"/>
        <v>SE Brown King Crab Pot</v>
      </c>
      <c r="G50" s="43">
        <f>IF(ISNA(VLOOKUP(B50,Table5Data!$A:$N,2,FALSE)),"-",VLOOKUP(B50,Table5Data!$A:$N,3,FALSE))</f>
        <v>0</v>
      </c>
      <c r="H50" s="38" t="str">
        <f t="shared" si="33"/>
        <v>constant</v>
      </c>
      <c r="I50" s="38">
        <f t="shared" si="34"/>
        <v>0</v>
      </c>
      <c r="J50" s="38" t="str">
        <f t="shared" si="41"/>
        <v>SE Brown King Crab Pot</v>
      </c>
      <c r="K50" s="43">
        <f>IF(ISNA(VLOOKUP(B50,Table5Data!$A:$N,2,FALSE)),"-",VLOOKUP(B50,Table5Data!$A:$N,4,FALSE))</f>
        <v>1</v>
      </c>
      <c r="L50" s="38" t="str">
        <f t="shared" si="35"/>
        <v>increase</v>
      </c>
      <c r="M50" s="38">
        <f t="shared" si="36"/>
        <v>1</v>
      </c>
      <c r="N50" s="38" t="str">
        <f t="shared" si="42"/>
        <v>SE Brown King Crab Pot</v>
      </c>
      <c r="O50" s="43">
        <f>IF(ISNA(VLOOKUP(B50,Table5Data!$A:$N,2,FALSE)),"-",VLOOKUP(B50,Table5Data!$A:$N,5,FALSE))</f>
        <v>0</v>
      </c>
      <c r="P50" s="38" t="str">
        <f t="shared" si="37"/>
        <v>constant</v>
      </c>
      <c r="Q50" s="38">
        <f t="shared" si="38"/>
        <v>0</v>
      </c>
      <c r="R50" s="38" t="str">
        <f t="shared" si="43"/>
        <v>SE Brown King Crab Pot</v>
      </c>
      <c r="S50" s="43">
        <f>IF(ISNA(VLOOKUP(B50,Table5Data!$A:$N,2,FALSE)),"-",VLOOKUP(B50,Table5Data!$A:$N,6,FALSE))</f>
        <v>-1</v>
      </c>
      <c r="T50" s="38" t="str">
        <f t="shared" si="39"/>
        <v>decrease</v>
      </c>
      <c r="U50" s="38">
        <f t="shared" si="40"/>
        <v>-1</v>
      </c>
      <c r="V50" s="38" t="str">
        <f t="shared" si="44"/>
        <v>SE Brown King Crab Pot</v>
      </c>
      <c r="W50" s="43">
        <f>IF(ISNA(VLOOKUP(B50,Table5Data!$A:$N,2,FALSE)),"-",VLOOKUP(B50,Table5Data!$A:$N,7,FALSE))</f>
        <v>0</v>
      </c>
    </row>
    <row r="51" spans="1:23" ht="15">
      <c r="A51" s="7" t="s">
        <v>260</v>
      </c>
      <c r="B51" s="7" t="s">
        <v>261</v>
      </c>
      <c r="C51" s="38">
        <f>IF(ISNA(VLOOKUP(B51,Table5Data!$A:$N,2,FALSE)),"-",VLOOKUP(B51,Table5Data!$A:$N,2,FALSE))</f>
        <v>0</v>
      </c>
      <c r="D51" s="38" t="str">
        <f t="shared" si="30"/>
        <v>constant</v>
      </c>
      <c r="E51" s="38">
        <f t="shared" si="31"/>
        <v>0</v>
      </c>
      <c r="F51" s="38" t="str">
        <f t="shared" si="32"/>
        <v>SE Red,Blue King/Tanner Pot</v>
      </c>
      <c r="G51" s="43">
        <f>IF(ISNA(VLOOKUP(B51,Table5Data!$A:$N,2,FALSE)),"-",VLOOKUP(B51,Table5Data!$A:$N,3,FALSE))</f>
        <v>0</v>
      </c>
      <c r="H51" s="38" t="str">
        <f t="shared" si="33"/>
        <v>constant</v>
      </c>
      <c r="I51" s="38">
        <f t="shared" si="34"/>
        <v>0</v>
      </c>
      <c r="J51" s="38" t="str">
        <f t="shared" si="41"/>
        <v>SE Red,Blue King/Tanner Pot</v>
      </c>
      <c r="K51" s="43">
        <f>IF(ISNA(VLOOKUP(B51,Table5Data!$A:$N,2,FALSE)),"-",VLOOKUP(B51,Table5Data!$A:$N,4,FALSE))</f>
        <v>2</v>
      </c>
      <c r="L51" s="38" t="str">
        <f t="shared" si="35"/>
        <v>increase</v>
      </c>
      <c r="M51" s="38">
        <f t="shared" si="36"/>
        <v>2</v>
      </c>
      <c r="N51" s="38" t="str">
        <f t="shared" si="42"/>
        <v>SE Red,Blue King/Tanner Pot</v>
      </c>
      <c r="O51" s="43">
        <f>IF(ISNA(VLOOKUP(B51,Table5Data!$A:$N,2,FALSE)),"-",VLOOKUP(B51,Table5Data!$A:$N,5,FALSE))</f>
        <v>0</v>
      </c>
      <c r="P51" s="38" t="str">
        <f t="shared" si="37"/>
        <v>constant</v>
      </c>
      <c r="Q51" s="38">
        <f t="shared" si="38"/>
        <v>0</v>
      </c>
      <c r="R51" s="38" t="str">
        <f t="shared" si="43"/>
        <v>SE Red,Blue King/Tanner Pot</v>
      </c>
      <c r="S51" s="43">
        <f>IF(ISNA(VLOOKUP(B51,Table5Data!$A:$N,2,FALSE)),"-",VLOOKUP(B51,Table5Data!$A:$N,6,FALSE))</f>
        <v>-2</v>
      </c>
      <c r="T51" s="38" t="str">
        <f t="shared" si="39"/>
        <v>decrease</v>
      </c>
      <c r="U51" s="38">
        <f t="shared" si="40"/>
        <v>-2</v>
      </c>
      <c r="V51" s="38" t="str">
        <f t="shared" si="44"/>
        <v>SE Red,Blue King/Tanner Pot</v>
      </c>
      <c r="W51" s="43">
        <f>IF(ISNA(VLOOKUP(B51,Table5Data!$A:$N,2,FALSE)),"-",VLOOKUP(B51,Table5Data!$A:$N,7,FALSE))</f>
        <v>0</v>
      </c>
    </row>
    <row r="52" spans="1:23" ht="15">
      <c r="A52" s="7" t="s">
        <v>262</v>
      </c>
      <c r="B52" s="7" t="s">
        <v>263</v>
      </c>
      <c r="C52" s="38">
        <f>IF(ISNA(VLOOKUP(B52,Table5Data!$A:$N,2,FALSE)),"-",VLOOKUP(B52,Table5Data!$A:$N,2,FALSE))</f>
        <v>1</v>
      </c>
      <c r="D52" s="38" t="str">
        <f t="shared" si="30"/>
        <v>increase</v>
      </c>
      <c r="E52" s="38">
        <f t="shared" si="31"/>
        <v>1</v>
      </c>
      <c r="F52" s="38" t="str">
        <f t="shared" si="32"/>
        <v>SE Brown King/Tanner Pot</v>
      </c>
      <c r="G52" s="43">
        <f>IF(ISNA(VLOOKUP(B52,Table5Data!$A:$N,2,FALSE)),"-",VLOOKUP(B52,Table5Data!$A:$N,3,FALSE))</f>
        <v>0</v>
      </c>
      <c r="H52" s="38" t="str">
        <f t="shared" si="33"/>
        <v>constant</v>
      </c>
      <c r="I52" s="38">
        <f t="shared" si="34"/>
        <v>0</v>
      </c>
      <c r="J52" s="38" t="str">
        <f t="shared" si="41"/>
        <v>SE Brown King/Tanner Pot</v>
      </c>
      <c r="K52" s="43">
        <f>IF(ISNA(VLOOKUP(B52,Table5Data!$A:$N,2,FALSE)),"-",VLOOKUP(B52,Table5Data!$A:$N,4,FALSE))</f>
        <v>0</v>
      </c>
      <c r="L52" s="38" t="str">
        <f t="shared" si="35"/>
        <v>constant</v>
      </c>
      <c r="M52" s="38">
        <f t="shared" si="36"/>
        <v>0</v>
      </c>
      <c r="N52" s="38" t="str">
        <f t="shared" si="42"/>
        <v>SE Brown King/Tanner Pot</v>
      </c>
      <c r="O52" s="43">
        <f>IF(ISNA(VLOOKUP(B52,Table5Data!$A:$N,2,FALSE)),"-",VLOOKUP(B52,Table5Data!$A:$N,5,FALSE))</f>
        <v>0</v>
      </c>
      <c r="P52" s="38" t="str">
        <f t="shared" si="37"/>
        <v>constant</v>
      </c>
      <c r="Q52" s="38">
        <f t="shared" si="38"/>
        <v>0</v>
      </c>
      <c r="R52" s="38" t="str">
        <f t="shared" si="43"/>
        <v>SE Brown King/Tanner Pot</v>
      </c>
      <c r="S52" s="43">
        <f>IF(ISNA(VLOOKUP(B52,Table5Data!$A:$N,2,FALSE)),"-",VLOOKUP(B52,Table5Data!$A:$N,6,FALSE))</f>
        <v>-1</v>
      </c>
      <c r="T52" s="38" t="str">
        <f t="shared" si="39"/>
        <v>decrease</v>
      </c>
      <c r="U52" s="38">
        <f t="shared" si="40"/>
        <v>-1</v>
      </c>
      <c r="V52" s="38" t="str">
        <f t="shared" si="44"/>
        <v>SE Brown King/Tanner Pot</v>
      </c>
      <c r="W52" s="43">
        <f>IF(ISNA(VLOOKUP(B52,Table5Data!$A:$N,2,FALSE)),"-",VLOOKUP(B52,Table5Data!$A:$N,7,FALSE))</f>
        <v>0</v>
      </c>
    </row>
    <row r="53" spans="1:23" ht="15">
      <c r="A53" s="7" t="s">
        <v>264</v>
      </c>
      <c r="B53" s="7" t="s">
        <v>265</v>
      </c>
      <c r="C53" s="38">
        <f>IF(ISNA(VLOOKUP(B53,Table5Data!$A:$N,2,FALSE)),"-",VLOOKUP(B53,Table5Data!$A:$N,2,FALSE))</f>
        <v>-3</v>
      </c>
      <c r="D53" s="38" t="str">
        <f t="shared" si="30"/>
        <v>decrease</v>
      </c>
      <c r="E53" s="38">
        <f t="shared" si="31"/>
        <v>-3</v>
      </c>
      <c r="F53" s="38" t="str">
        <f t="shared" si="32"/>
        <v>SE All King/Tanner Pot</v>
      </c>
      <c r="G53" s="43">
        <f>IF(ISNA(VLOOKUP(B53,Table5Data!$A:$N,2,FALSE)),"-",VLOOKUP(B53,Table5Data!$A:$N,3,FALSE))</f>
        <v>1</v>
      </c>
      <c r="H53" s="38" t="str">
        <f t="shared" si="33"/>
        <v>increase</v>
      </c>
      <c r="I53" s="38">
        <f t="shared" si="34"/>
        <v>1</v>
      </c>
      <c r="J53" s="38" t="str">
        <f t="shared" si="41"/>
        <v>SE All King/Tanner Pot</v>
      </c>
      <c r="K53" s="43">
        <f>IF(ISNA(VLOOKUP(B53,Table5Data!$A:$N,2,FALSE)),"-",VLOOKUP(B53,Table5Data!$A:$N,4,FALSE))</f>
        <v>2</v>
      </c>
      <c r="L53" s="38" t="str">
        <f t="shared" si="35"/>
        <v>increase</v>
      </c>
      <c r="M53" s="38">
        <f t="shared" si="36"/>
        <v>2</v>
      </c>
      <c r="N53" s="38" t="str">
        <f t="shared" si="42"/>
        <v>SE All King/Tanner Pot</v>
      </c>
      <c r="O53" s="43">
        <f>IF(ISNA(VLOOKUP(B53,Table5Data!$A:$N,2,FALSE)),"-",VLOOKUP(B53,Table5Data!$A:$N,5,FALSE))</f>
        <v>0</v>
      </c>
      <c r="P53" s="38" t="str">
        <f t="shared" si="37"/>
        <v>constant</v>
      </c>
      <c r="Q53" s="38">
        <f t="shared" si="38"/>
        <v>0</v>
      </c>
      <c r="R53" s="38" t="str">
        <f t="shared" si="43"/>
        <v>SE All King/Tanner Pot</v>
      </c>
      <c r="S53" s="43">
        <f>IF(ISNA(VLOOKUP(B53,Table5Data!$A:$N,2,FALSE)),"-",VLOOKUP(B53,Table5Data!$A:$N,6,FALSE))</f>
        <v>0</v>
      </c>
      <c r="T53" s="38" t="str">
        <f t="shared" si="39"/>
        <v>constant</v>
      </c>
      <c r="U53" s="38">
        <f t="shared" si="40"/>
        <v>0</v>
      </c>
      <c r="V53" s="38" t="str">
        <f t="shared" si="44"/>
        <v>SE All King/Tanner Pot</v>
      </c>
      <c r="W53" s="43">
        <f>IF(ISNA(VLOOKUP(B53,Table5Data!$A:$N,2,FALSE)),"-",VLOOKUP(B53,Table5Data!$A:$N,7,FALSE))</f>
        <v>0</v>
      </c>
    </row>
    <row r="54" spans="1:23" ht="15">
      <c r="A54" s="7" t="s">
        <v>266</v>
      </c>
      <c r="B54" s="7" t="s">
        <v>267</v>
      </c>
      <c r="C54" s="38">
        <f>IF(ISNA(VLOOKUP(B54,Table5Data!$A:$N,2,FALSE)),"-",VLOOKUP(B54,Table5Data!$A:$N,2,FALSE))</f>
        <v>1</v>
      </c>
      <c r="D54" s="38" t="str">
        <f t="shared" si="30"/>
        <v>increase</v>
      </c>
      <c r="E54" s="38">
        <f t="shared" si="31"/>
        <v>1</v>
      </c>
      <c r="F54" s="38" t="str">
        <f t="shared" si="32"/>
        <v>SE Tanner Crab Pot</v>
      </c>
      <c r="G54" s="43">
        <f>IF(ISNA(VLOOKUP(B54,Table5Data!$A:$N,2,FALSE)),"-",VLOOKUP(B54,Table5Data!$A:$N,3,FALSE))</f>
        <v>-1</v>
      </c>
      <c r="H54" s="38" t="str">
        <f t="shared" si="33"/>
        <v>decrease</v>
      </c>
      <c r="I54" s="38">
        <f t="shared" si="34"/>
        <v>-1</v>
      </c>
      <c r="J54" s="38" t="str">
        <f t="shared" si="41"/>
        <v>SE Tanner Crab Pot</v>
      </c>
      <c r="K54" s="43">
        <f>IF(ISNA(VLOOKUP(B54,Table5Data!$A:$N,2,FALSE)),"-",VLOOKUP(B54,Table5Data!$A:$N,4,FALSE))</f>
        <v>5</v>
      </c>
      <c r="L54" s="38" t="str">
        <f t="shared" si="35"/>
        <v>increase</v>
      </c>
      <c r="M54" s="38">
        <f t="shared" si="36"/>
        <v>5</v>
      </c>
      <c r="N54" s="38" t="str">
        <f t="shared" si="42"/>
        <v>SE Tanner Crab Pot</v>
      </c>
      <c r="O54" s="43">
        <f>IF(ISNA(VLOOKUP(B54,Table5Data!$A:$N,2,FALSE)),"-",VLOOKUP(B54,Table5Data!$A:$N,5,FALSE))</f>
        <v>0</v>
      </c>
      <c r="P54" s="38" t="str">
        <f t="shared" si="37"/>
        <v>constant</v>
      </c>
      <c r="Q54" s="38">
        <f t="shared" si="38"/>
        <v>0</v>
      </c>
      <c r="R54" s="38" t="str">
        <f t="shared" si="43"/>
        <v>SE Tanner Crab Pot</v>
      </c>
      <c r="S54" s="43">
        <f>IF(ISNA(VLOOKUP(B54,Table5Data!$A:$N,2,FALSE)),"-",VLOOKUP(B54,Table5Data!$A:$N,6,FALSE))</f>
        <v>-5</v>
      </c>
      <c r="T54" s="38" t="str">
        <f t="shared" si="39"/>
        <v>decrease</v>
      </c>
      <c r="U54" s="38">
        <f t="shared" si="40"/>
        <v>-5</v>
      </c>
      <c r="V54" s="38" t="str">
        <f t="shared" si="44"/>
        <v>SE Tanner Crab Pot</v>
      </c>
      <c r="W54" s="43">
        <f>IF(ISNA(VLOOKUP(B54,Table5Data!$A:$N,2,FALSE)),"-",VLOOKUP(B54,Table5Data!$A:$N,7,FALSE))</f>
        <v>0</v>
      </c>
    </row>
    <row r="55" spans="1:23" ht="15">
      <c r="A55" s="7" t="s">
        <v>268</v>
      </c>
      <c r="B55" s="7" t="s">
        <v>269</v>
      </c>
      <c r="C55" s="38">
        <f>IF(ISNA(VLOOKUP(B55,Table5Data!$A:$N,2,FALSE)),"-",VLOOKUP(B55,Table5Data!$A:$N,2,FALSE))</f>
        <v>2</v>
      </c>
      <c r="D55" s="38" t="str">
        <f t="shared" si="30"/>
        <v>increase</v>
      </c>
      <c r="E55" s="38">
        <f t="shared" si="31"/>
        <v>2</v>
      </c>
      <c r="F55" s="38" t="str">
        <f t="shared" si="32"/>
        <v>PWS Roe Herring Gillnet</v>
      </c>
      <c r="G55" s="43">
        <f>IF(ISNA(VLOOKUP(B55,Table5Data!$A:$N,2,FALSE)),"-",VLOOKUP(B55,Table5Data!$A:$N,3,FALSE))</f>
        <v>1</v>
      </c>
      <c r="H55" s="38" t="str">
        <f t="shared" si="33"/>
        <v>increase</v>
      </c>
      <c r="I55" s="38">
        <f t="shared" si="34"/>
        <v>1</v>
      </c>
      <c r="J55" s="38" t="str">
        <f t="shared" si="41"/>
        <v>PWS Roe Herring Gillnet</v>
      </c>
      <c r="K55" s="43">
        <f>IF(ISNA(VLOOKUP(B55,Table5Data!$A:$N,2,FALSE)),"-",VLOOKUP(B55,Table5Data!$A:$N,4,FALSE))</f>
        <v>0</v>
      </c>
      <c r="L55" s="38" t="str">
        <f t="shared" si="35"/>
        <v>constant</v>
      </c>
      <c r="M55" s="38">
        <f t="shared" si="36"/>
        <v>0</v>
      </c>
      <c r="N55" s="38" t="str">
        <f t="shared" si="42"/>
        <v>PWS Roe Herring Gillnet</v>
      </c>
      <c r="O55" s="43">
        <f>IF(ISNA(VLOOKUP(B55,Table5Data!$A:$N,2,FALSE)),"-",VLOOKUP(B55,Table5Data!$A:$N,5,FALSE))</f>
        <v>2</v>
      </c>
      <c r="P55" s="38" t="str">
        <f t="shared" si="37"/>
        <v>increase</v>
      </c>
      <c r="Q55" s="38">
        <f t="shared" si="38"/>
        <v>2</v>
      </c>
      <c r="R55" s="38" t="str">
        <f t="shared" si="43"/>
        <v>PWS Roe Herring Gillnet</v>
      </c>
      <c r="S55" s="43">
        <f>IF(ISNA(VLOOKUP(B55,Table5Data!$A:$N,2,FALSE)),"-",VLOOKUP(B55,Table5Data!$A:$N,6,FALSE))</f>
        <v>-5</v>
      </c>
      <c r="T55" s="38" t="str">
        <f t="shared" si="39"/>
        <v>decrease</v>
      </c>
      <c r="U55" s="38">
        <f t="shared" si="40"/>
        <v>-5</v>
      </c>
      <c r="V55" s="38" t="str">
        <f t="shared" si="44"/>
        <v>PWS Roe Herring Gillnet</v>
      </c>
      <c r="W55" s="43">
        <f>IF(ISNA(VLOOKUP(B55,Table5Data!$A:$N,2,FALSE)),"-",VLOOKUP(B55,Table5Data!$A:$N,7,FALSE))</f>
        <v>0</v>
      </c>
    </row>
    <row r="56" spans="1:23" ht="15">
      <c r="A56" s="7" t="s">
        <v>270</v>
      </c>
      <c r="B56" s="7" t="s">
        <v>271</v>
      </c>
      <c r="C56" s="38">
        <f>IF(ISNA(VLOOKUP(B56,Table5Data!$A:$N,2,FALSE)),"-",VLOOKUP(B56,Table5Data!$A:$N,2,FALSE))</f>
        <v>-2</v>
      </c>
      <c r="D56" s="38" t="str">
        <f t="shared" si="30"/>
        <v>decrease</v>
      </c>
      <c r="E56" s="38">
        <f t="shared" si="31"/>
        <v>-2</v>
      </c>
      <c r="F56" s="38" t="str">
        <f t="shared" si="32"/>
        <v>PWS Her Spawn on Kelp Pound</v>
      </c>
      <c r="G56" s="43">
        <f>IF(ISNA(VLOOKUP(B56,Table5Data!$A:$N,2,FALSE)),"-",VLOOKUP(B56,Table5Data!$A:$N,3,FALSE))</f>
        <v>13</v>
      </c>
      <c r="H56" s="38" t="str">
        <f t="shared" si="33"/>
        <v>increase</v>
      </c>
      <c r="I56" s="38">
        <f t="shared" si="34"/>
        <v>13</v>
      </c>
      <c r="J56" s="38" t="str">
        <f t="shared" si="41"/>
        <v>PWS Her Spawn on Kelp Pound</v>
      </c>
      <c r="K56" s="43">
        <f>IF(ISNA(VLOOKUP(B56,Table5Data!$A:$N,2,FALSE)),"-",VLOOKUP(B56,Table5Data!$A:$N,4,FALSE))</f>
        <v>0</v>
      </c>
      <c r="L56" s="38" t="str">
        <f t="shared" si="35"/>
        <v>constant</v>
      </c>
      <c r="M56" s="38">
        <f t="shared" si="36"/>
        <v>0</v>
      </c>
      <c r="N56" s="38" t="str">
        <f t="shared" si="42"/>
        <v>PWS Her Spawn on Kelp Pound</v>
      </c>
      <c r="O56" s="43">
        <f>IF(ISNA(VLOOKUP(B56,Table5Data!$A:$N,2,FALSE)),"-",VLOOKUP(B56,Table5Data!$A:$N,5,FALSE))</f>
        <v>0</v>
      </c>
      <c r="P56" s="38" t="str">
        <f t="shared" si="37"/>
        <v>constant</v>
      </c>
      <c r="Q56" s="38">
        <f t="shared" si="38"/>
        <v>0</v>
      </c>
      <c r="R56" s="38" t="str">
        <f t="shared" si="43"/>
        <v>PWS Her Spawn on Kelp Pound</v>
      </c>
      <c r="S56" s="43">
        <f>IF(ISNA(VLOOKUP(B56,Table5Data!$A:$N,2,FALSE)),"-",VLOOKUP(B56,Table5Data!$A:$N,6,FALSE))</f>
        <v>-11</v>
      </c>
      <c r="T56" s="38" t="str">
        <f t="shared" si="39"/>
        <v>decrease</v>
      </c>
      <c r="U56" s="38">
        <f t="shared" si="40"/>
        <v>-11</v>
      </c>
      <c r="V56" s="38" t="str">
        <f t="shared" si="44"/>
        <v>PWS Her Spawn on Kelp Pound</v>
      </c>
      <c r="W56" s="43">
        <f>IF(ISNA(VLOOKUP(B56,Table5Data!$A:$N,2,FALSE)),"-",VLOOKUP(B56,Table5Data!$A:$N,7,FALSE))</f>
        <v>0</v>
      </c>
    </row>
    <row r="57" spans="1:23" ht="15">
      <c r="A57" s="7" t="s">
        <v>272</v>
      </c>
      <c r="B57" s="7" t="s">
        <v>273</v>
      </c>
      <c r="C57" s="38">
        <f>IF(ISNA(VLOOKUP(B57,Table5Data!$A:$N,2,FALSE)),"-",VLOOKUP(B57,Table5Data!$A:$N,2,FALSE))</f>
        <v>5</v>
      </c>
      <c r="D57" s="38" t="str">
        <f t="shared" si="30"/>
        <v>increase</v>
      </c>
      <c r="E57" s="38">
        <f t="shared" si="31"/>
        <v>5</v>
      </c>
      <c r="F57" s="38" t="str">
        <f t="shared" si="32"/>
        <v>Kodiak Roe Herring Seine</v>
      </c>
      <c r="G57" s="43">
        <f>IF(ISNA(VLOOKUP(B57,Table5Data!$A:$N,2,FALSE)),"-",VLOOKUP(B57,Table5Data!$A:$N,3,FALSE))</f>
        <v>11</v>
      </c>
      <c r="H57" s="38" t="str">
        <f t="shared" si="33"/>
        <v>increase</v>
      </c>
      <c r="I57" s="38">
        <f t="shared" si="34"/>
        <v>11</v>
      </c>
      <c r="J57" s="38" t="str">
        <f t="shared" si="41"/>
        <v>Kodiak Roe Herring Seine</v>
      </c>
      <c r="K57" s="43">
        <f>IF(ISNA(VLOOKUP(B57,Table5Data!$A:$N,2,FALSE)),"-",VLOOKUP(B57,Table5Data!$A:$N,4,FALSE))</f>
        <v>-10</v>
      </c>
      <c r="L57" s="38" t="str">
        <f t="shared" si="35"/>
        <v>decrease</v>
      </c>
      <c r="M57" s="38">
        <f t="shared" si="36"/>
        <v>-10</v>
      </c>
      <c r="N57" s="38" t="str">
        <f t="shared" si="42"/>
        <v>Kodiak Roe Herring Seine</v>
      </c>
      <c r="O57" s="43">
        <f>IF(ISNA(VLOOKUP(B57,Table5Data!$A:$N,2,FALSE)),"-",VLOOKUP(B57,Table5Data!$A:$N,5,FALSE))</f>
        <v>3</v>
      </c>
      <c r="P57" s="38" t="str">
        <f t="shared" si="37"/>
        <v>increase</v>
      </c>
      <c r="Q57" s="38">
        <f t="shared" si="38"/>
        <v>3</v>
      </c>
      <c r="R57" s="38" t="str">
        <f t="shared" si="43"/>
        <v>Kodiak Roe Herring Seine</v>
      </c>
      <c r="S57" s="43">
        <f>IF(ISNA(VLOOKUP(B57,Table5Data!$A:$N,2,FALSE)),"-",VLOOKUP(B57,Table5Data!$A:$N,6,FALSE))</f>
        <v>-9</v>
      </c>
      <c r="T57" s="38" t="str">
        <f t="shared" si="39"/>
        <v>decrease</v>
      </c>
      <c r="U57" s="38">
        <f t="shared" si="40"/>
        <v>-9</v>
      </c>
      <c r="V57" s="38" t="str">
        <f t="shared" si="44"/>
        <v>Kodiak Roe Herring Seine</v>
      </c>
      <c r="W57" s="43">
        <f>IF(ISNA(VLOOKUP(B57,Table5Data!$A:$N,2,FALSE)),"-",VLOOKUP(B57,Table5Data!$A:$N,7,FALSE))</f>
        <v>0</v>
      </c>
    </row>
    <row r="58" spans="1:23" ht="15">
      <c r="A58" s="7" t="s">
        <v>274</v>
      </c>
      <c r="B58" s="7" t="s">
        <v>275</v>
      </c>
      <c r="C58" s="38">
        <f>IF(ISNA(VLOOKUP(B58,Table5Data!$A:$N,2,FALSE)),"-",VLOOKUP(B58,Table5Data!$A:$N,2,FALSE))</f>
        <v>3</v>
      </c>
      <c r="D58" s="38" t="str">
        <f t="shared" si="30"/>
        <v>increase</v>
      </c>
      <c r="E58" s="38">
        <f t="shared" si="31"/>
        <v>3</v>
      </c>
      <c r="F58" s="38" t="str">
        <f t="shared" si="32"/>
        <v>Kodiak Roe Herring Gillnet</v>
      </c>
      <c r="G58" s="43">
        <f>IF(ISNA(VLOOKUP(B58,Table5Data!$A:$N,2,FALSE)),"-",VLOOKUP(B58,Table5Data!$A:$N,3,FALSE))</f>
        <v>-6</v>
      </c>
      <c r="H58" s="38" t="str">
        <f t="shared" si="33"/>
        <v>decrease</v>
      </c>
      <c r="I58" s="38">
        <f t="shared" si="34"/>
        <v>-6</v>
      </c>
      <c r="J58" s="38" t="str">
        <f t="shared" si="41"/>
        <v>Kodiak Roe Herring Gillnet</v>
      </c>
      <c r="K58" s="43">
        <f>IF(ISNA(VLOOKUP(B58,Table5Data!$A:$N,2,FALSE)),"-",VLOOKUP(B58,Table5Data!$A:$N,4,FALSE))</f>
        <v>4</v>
      </c>
      <c r="L58" s="38" t="str">
        <f t="shared" si="35"/>
        <v>increase</v>
      </c>
      <c r="M58" s="38">
        <f t="shared" si="36"/>
        <v>4</v>
      </c>
      <c r="N58" s="38" t="str">
        <f t="shared" si="42"/>
        <v>Kodiak Roe Herring Gillnet</v>
      </c>
      <c r="O58" s="43">
        <f>IF(ISNA(VLOOKUP(B58,Table5Data!$A:$N,2,FALSE)),"-",VLOOKUP(B58,Table5Data!$A:$N,5,FALSE))</f>
        <v>-1</v>
      </c>
      <c r="P58" s="38" t="str">
        <f t="shared" si="37"/>
        <v>decrease</v>
      </c>
      <c r="Q58" s="38">
        <f t="shared" si="38"/>
        <v>-1</v>
      </c>
      <c r="R58" s="38" t="str">
        <f t="shared" si="43"/>
        <v>Kodiak Roe Herring Gillnet</v>
      </c>
      <c r="S58" s="43">
        <f>IF(ISNA(VLOOKUP(B58,Table5Data!$A:$N,2,FALSE)),"-",VLOOKUP(B58,Table5Data!$A:$N,6,FALSE))</f>
        <v>-1</v>
      </c>
      <c r="T58" s="38" t="str">
        <f t="shared" si="39"/>
        <v>decrease</v>
      </c>
      <c r="U58" s="38">
        <f t="shared" si="40"/>
        <v>-1</v>
      </c>
      <c r="V58" s="38" t="str">
        <f t="shared" si="44"/>
        <v>Kodiak Roe Herring Gillnet</v>
      </c>
      <c r="W58" s="43">
        <f>IF(ISNA(VLOOKUP(B58,Table5Data!$A:$N,2,FALSE)),"-",VLOOKUP(B58,Table5Data!$A:$N,7,FALSE))</f>
        <v>1</v>
      </c>
    </row>
    <row r="59" spans="1:23" ht="15">
      <c r="A59" s="7" t="s">
        <v>276</v>
      </c>
      <c r="B59" s="7" t="s">
        <v>277</v>
      </c>
      <c r="C59" s="72" t="str">
        <f>IF(ISNA(VLOOKUP(B59,Table5Data!$A:$N,2,FALSE)),"-",VLOOKUP(B59,Table5Data!$A:$N,2,FALSE))</f>
        <v>-</v>
      </c>
      <c r="D59" s="72" t="str">
        <f t="shared" si="30"/>
        <v>increase</v>
      </c>
      <c r="E59" s="72" t="str">
        <f t="shared" si="31"/>
        <v>-</v>
      </c>
      <c r="F59" s="72" t="str">
        <f t="shared" si="32"/>
        <v>Kodiak Roe Her Seine/Gill</v>
      </c>
      <c r="G59" s="124" t="str">
        <f>IF(ISNA(VLOOKUP(B59,Table5Data!$A:$N,2,FALSE)),"-",VLOOKUP(B59,Table5Data!$A:$N,3,FALSE))</f>
        <v>-</v>
      </c>
      <c r="H59" s="72" t="str">
        <f t="shared" si="33"/>
        <v>increase</v>
      </c>
      <c r="I59" s="72" t="str">
        <f t="shared" si="34"/>
        <v>-</v>
      </c>
      <c r="J59" s="72" t="str">
        <f t="shared" si="41"/>
        <v>Kodiak Roe Her Seine/Gill</v>
      </c>
      <c r="K59" s="124" t="str">
        <f>IF(ISNA(VLOOKUP(B59,Table5Data!$A:$N,2,FALSE)),"-",VLOOKUP(B59,Table5Data!$A:$N,4,FALSE))</f>
        <v>-</v>
      </c>
      <c r="L59" s="72" t="str">
        <f t="shared" si="35"/>
        <v>increase</v>
      </c>
      <c r="M59" s="72" t="str">
        <f t="shared" si="36"/>
        <v>-</v>
      </c>
      <c r="N59" s="72" t="str">
        <f t="shared" si="42"/>
        <v>Kodiak Roe Her Seine/Gill</v>
      </c>
      <c r="O59" s="124" t="str">
        <f>IF(ISNA(VLOOKUP(B59,Table5Data!$A:$N,2,FALSE)),"-",VLOOKUP(B59,Table5Data!$A:$N,5,FALSE))</f>
        <v>-</v>
      </c>
      <c r="P59" s="72" t="str">
        <f t="shared" si="37"/>
        <v>increase</v>
      </c>
      <c r="Q59" s="72" t="str">
        <f t="shared" si="38"/>
        <v>-</v>
      </c>
      <c r="R59" s="72" t="str">
        <f t="shared" si="43"/>
        <v>Kodiak Roe Her Seine/Gill</v>
      </c>
      <c r="S59" s="124" t="str">
        <f>IF(ISNA(VLOOKUP(B59,Table5Data!$A:$N,2,FALSE)),"-",VLOOKUP(B59,Table5Data!$A:$N,6,FALSE))</f>
        <v>-</v>
      </c>
      <c r="T59" s="72" t="str">
        <f t="shared" si="39"/>
        <v>increase</v>
      </c>
      <c r="U59" s="72" t="str">
        <f t="shared" si="40"/>
        <v>-</v>
      </c>
      <c r="V59" s="72" t="str">
        <f t="shared" si="44"/>
        <v>Kodiak Roe Her Seine/Gill</v>
      </c>
      <c r="W59" s="124" t="str">
        <f>IF(ISNA(VLOOKUP(B59,Table5Data!$A:$N,2,FALSE)),"-",VLOOKUP(B59,Table5Data!$A:$N,7,FALSE))</f>
        <v>-</v>
      </c>
    </row>
    <row r="60" spans="1:23" ht="15">
      <c r="A60" s="7"/>
      <c r="B60" s="7"/>
      <c r="C60" s="44">
        <f>SUM(C44:C59)</f>
        <v>-15</v>
      </c>
      <c r="D60" s="44"/>
      <c r="E60" s="44"/>
      <c r="F60" s="44"/>
      <c r="G60" s="44">
        <f>SUM(G44:G59)</f>
        <v>26</v>
      </c>
      <c r="H60" s="44"/>
      <c r="I60" s="44"/>
      <c r="J60" s="44"/>
      <c r="K60" s="44">
        <f>SUM(K44:K59)</f>
        <v>-5</v>
      </c>
      <c r="L60" s="44"/>
      <c r="M60" s="44"/>
      <c r="N60" s="44"/>
      <c r="O60" s="44">
        <f>SUM(O44:O59)</f>
        <v>-2</v>
      </c>
      <c r="P60" s="44"/>
      <c r="Q60" s="44"/>
      <c r="R60" s="44"/>
      <c r="S60" s="44">
        <f>SUM(S44:S59)</f>
        <v>-5</v>
      </c>
      <c r="T60" s="44"/>
      <c r="U60" s="44"/>
      <c r="V60" s="44"/>
      <c r="W60" s="44">
        <f>SUM(W44:W59)</f>
        <v>1</v>
      </c>
    </row>
    <row r="61" spans="1:23" ht="15">
      <c r="A61" s="8"/>
      <c r="B61" s="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">
      <c r="A62" s="9" t="s">
        <v>278</v>
      </c>
      <c r="B62" s="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5">
      <c r="A63" s="7" t="s">
        <v>279</v>
      </c>
      <c r="B63" s="7" t="s">
        <v>280</v>
      </c>
      <c r="C63" s="38">
        <f>IF(ISNA(VLOOKUP(B63,Table5Data!$A:$N,2,FALSE)),"-",VLOOKUP(B63,Table5Data!$A:$N,2,FALSE))</f>
        <v>2</v>
      </c>
      <c r="D63" s="38" t="str">
        <f aca="true" t="shared" si="45" ref="D63:D68">IF(C63&lt;0,"decrease",IF(C63=0,"constant","increase"))</f>
        <v>increase</v>
      </c>
      <c r="E63" s="38">
        <f aca="true" t="shared" si="46" ref="E63:E68">C63</f>
        <v>2</v>
      </c>
      <c r="F63" s="38" t="str">
        <f aca="true" t="shared" si="47" ref="F63:F68">A63</f>
        <v>BBay Herring Spawn on Kelp</v>
      </c>
      <c r="G63" s="43">
        <f>IF(ISNA(VLOOKUP(B63,Table5Data!$A:$N,2,FALSE)),"-",VLOOKUP(B63,Table5Data!$A:$N,3,FALSE))</f>
        <v>0</v>
      </c>
      <c r="H63" s="38" t="str">
        <f aca="true" t="shared" si="48" ref="H63:H68">IF(G63&lt;0,"decrease",IF(G63=0,"constant","increase"))</f>
        <v>constant</v>
      </c>
      <c r="I63" s="38">
        <f aca="true" t="shared" si="49" ref="I63:I68">G63</f>
        <v>0</v>
      </c>
      <c r="J63" s="38" t="str">
        <f aca="true" t="shared" si="50" ref="J63:J68">F63</f>
        <v>BBay Herring Spawn on Kelp</v>
      </c>
      <c r="K63" s="43">
        <f>IF(ISNA(VLOOKUP(B63,Table5Data!$A:$N,2,FALSE)),"-",VLOOKUP(B63,Table5Data!$A:$N,4,FALSE))</f>
        <v>0</v>
      </c>
      <c r="L63" s="38" t="str">
        <f aca="true" t="shared" si="51" ref="L63:L68">IF(K63&lt;0,"decrease",IF(K63=0,"constant","increase"))</f>
        <v>constant</v>
      </c>
      <c r="M63" s="38">
        <f aca="true" t="shared" si="52" ref="M63:M68">K63</f>
        <v>0</v>
      </c>
      <c r="N63" s="38" t="str">
        <f aca="true" t="shared" si="53" ref="N63:N68">J63</f>
        <v>BBay Herring Spawn on Kelp</v>
      </c>
      <c r="O63" s="43">
        <f>IF(ISNA(VLOOKUP(B63,Table5Data!$A:$N,2,FALSE)),"-",VLOOKUP(B63,Table5Data!$A:$N,5,FALSE))</f>
        <v>-2</v>
      </c>
      <c r="P63" s="38" t="str">
        <f aca="true" t="shared" si="54" ref="P63:P68">IF(O63&lt;0,"decrease",IF(O63=0,"constant","increase"))</f>
        <v>decrease</v>
      </c>
      <c r="Q63" s="38">
        <f aca="true" t="shared" si="55" ref="Q63:Q68">O63</f>
        <v>-2</v>
      </c>
      <c r="R63" s="38" t="str">
        <f aca="true" t="shared" si="56" ref="R63:R68">N63</f>
        <v>BBay Herring Spawn on Kelp</v>
      </c>
      <c r="S63" s="43">
        <f>IF(ISNA(VLOOKUP(B63,Table5Data!$A:$N,2,FALSE)),"-",VLOOKUP(B63,Table5Data!$A:$N,6,FALSE))</f>
        <v>-2</v>
      </c>
      <c r="T63" s="38" t="str">
        <f aca="true" t="shared" si="57" ref="T63:T68">IF(S63&lt;0,"decrease",IF(S63=0,"constant","increase"))</f>
        <v>decrease</v>
      </c>
      <c r="U63" s="38">
        <f aca="true" t="shared" si="58" ref="U63:U68">S63</f>
        <v>-2</v>
      </c>
      <c r="V63" s="38" t="str">
        <f aca="true" t="shared" si="59" ref="V63:V68">R63</f>
        <v>BBay Herring Spawn on Kelp</v>
      </c>
      <c r="W63" s="43">
        <f>IF(ISNA(VLOOKUP(B63,Table5Data!$A:$N,2,FALSE)),"-",VLOOKUP(B63,Table5Data!$A:$N,7,FALSE))</f>
        <v>2</v>
      </c>
    </row>
    <row r="64" spans="1:23" ht="15">
      <c r="A64" s="7" t="s">
        <v>281</v>
      </c>
      <c r="B64" s="7" t="s">
        <v>282</v>
      </c>
      <c r="C64" s="38">
        <f>IF(ISNA(VLOOKUP(B64,Table5Data!$A:$N,2,FALSE)),"-",VLOOKUP(B64,Table5Data!$A:$N,2,FALSE))</f>
        <v>0</v>
      </c>
      <c r="D64" s="38" t="str">
        <f t="shared" si="45"/>
        <v>constant</v>
      </c>
      <c r="E64" s="38">
        <f t="shared" si="46"/>
        <v>0</v>
      </c>
      <c r="F64" s="38" t="str">
        <f t="shared" si="47"/>
        <v>Norton Sd Her Beach Seine</v>
      </c>
      <c r="G64" s="43">
        <f>IF(ISNA(VLOOKUP(B64,Table5Data!$A:$N,2,FALSE)),"-",VLOOKUP(B64,Table5Data!$A:$N,3,FALSE))</f>
        <v>0</v>
      </c>
      <c r="H64" s="38" t="str">
        <f t="shared" si="48"/>
        <v>constant</v>
      </c>
      <c r="I64" s="38">
        <f t="shared" si="49"/>
        <v>0</v>
      </c>
      <c r="J64" s="38" t="str">
        <f t="shared" si="50"/>
        <v>Norton Sd Her Beach Seine</v>
      </c>
      <c r="K64" s="43">
        <f>IF(ISNA(VLOOKUP(B64,Table5Data!$A:$N,2,FALSE)),"-",VLOOKUP(B64,Table5Data!$A:$N,4,FALSE))</f>
        <v>0</v>
      </c>
      <c r="L64" s="38" t="str">
        <f t="shared" si="51"/>
        <v>constant</v>
      </c>
      <c r="M64" s="38">
        <f t="shared" si="52"/>
        <v>0</v>
      </c>
      <c r="N64" s="38" t="str">
        <f t="shared" si="53"/>
        <v>Norton Sd Her Beach Seine</v>
      </c>
      <c r="O64" s="43">
        <f>IF(ISNA(VLOOKUP(B64,Table5Data!$A:$N,2,FALSE)),"-",VLOOKUP(B64,Table5Data!$A:$N,5,FALSE))</f>
        <v>0</v>
      </c>
      <c r="P64" s="38" t="str">
        <f t="shared" si="54"/>
        <v>constant</v>
      </c>
      <c r="Q64" s="38">
        <f t="shared" si="55"/>
        <v>0</v>
      </c>
      <c r="R64" s="38" t="str">
        <f t="shared" si="56"/>
        <v>Norton Sd Her Beach Seine</v>
      </c>
      <c r="S64" s="43">
        <f>IF(ISNA(VLOOKUP(B64,Table5Data!$A:$N,2,FALSE)),"-",VLOOKUP(B64,Table5Data!$A:$N,6,FALSE))</f>
        <v>0</v>
      </c>
      <c r="T64" s="38" t="str">
        <f t="shared" si="57"/>
        <v>constant</v>
      </c>
      <c r="U64" s="38">
        <f t="shared" si="58"/>
        <v>0</v>
      </c>
      <c r="V64" s="38" t="str">
        <f t="shared" si="59"/>
        <v>Norton Sd Her Beach Seine</v>
      </c>
      <c r="W64" s="43">
        <f>IF(ISNA(VLOOKUP(B64,Table5Data!$A:$N,2,FALSE)),"-",VLOOKUP(B64,Table5Data!$A:$N,7,FALSE))</f>
        <v>0</v>
      </c>
    </row>
    <row r="65" spans="1:23" ht="15">
      <c r="A65" s="7" t="s">
        <v>283</v>
      </c>
      <c r="B65" s="7" t="s">
        <v>284</v>
      </c>
      <c r="C65" s="38">
        <f>IF(ISNA(VLOOKUP(B65,Table5Data!$A:$N,2,FALSE)),"-",VLOOKUP(B65,Table5Data!$A:$N,2,FALSE))</f>
        <v>10</v>
      </c>
      <c r="D65" s="38" t="str">
        <f t="shared" si="45"/>
        <v>increase</v>
      </c>
      <c r="E65" s="38">
        <f t="shared" si="46"/>
        <v>10</v>
      </c>
      <c r="F65" s="38" t="str">
        <f t="shared" si="47"/>
        <v>Nelson Island Her Gillnet</v>
      </c>
      <c r="G65" s="43">
        <f>IF(ISNA(VLOOKUP(B65,Table5Data!$A:$N,2,FALSE)),"-",VLOOKUP(B65,Table5Data!$A:$N,3,FALSE))</f>
        <v>-1</v>
      </c>
      <c r="H65" s="38" t="str">
        <f t="shared" si="48"/>
        <v>decrease</v>
      </c>
      <c r="I65" s="38">
        <f t="shared" si="49"/>
        <v>-1</v>
      </c>
      <c r="J65" s="38" t="str">
        <f t="shared" si="50"/>
        <v>Nelson Island Her Gillnet</v>
      </c>
      <c r="K65" s="43">
        <f>IF(ISNA(VLOOKUP(B65,Table5Data!$A:$N,2,FALSE)),"-",VLOOKUP(B65,Table5Data!$A:$N,4,FALSE))</f>
        <v>0</v>
      </c>
      <c r="L65" s="38" t="str">
        <f t="shared" si="51"/>
        <v>constant</v>
      </c>
      <c r="M65" s="38">
        <f t="shared" si="52"/>
        <v>0</v>
      </c>
      <c r="N65" s="38" t="str">
        <f t="shared" si="53"/>
        <v>Nelson Island Her Gillnet</v>
      </c>
      <c r="O65" s="43">
        <f>IF(ISNA(VLOOKUP(B65,Table5Data!$A:$N,2,FALSE)),"-",VLOOKUP(B65,Table5Data!$A:$N,5,FALSE))</f>
        <v>-7</v>
      </c>
      <c r="P65" s="38" t="str">
        <f t="shared" si="54"/>
        <v>decrease</v>
      </c>
      <c r="Q65" s="38">
        <f t="shared" si="55"/>
        <v>-7</v>
      </c>
      <c r="R65" s="38" t="str">
        <f t="shared" si="56"/>
        <v>Nelson Island Her Gillnet</v>
      </c>
      <c r="S65" s="43">
        <f>IF(ISNA(VLOOKUP(B65,Table5Data!$A:$N,2,FALSE)),"-",VLOOKUP(B65,Table5Data!$A:$N,6,FALSE))</f>
        <v>-2</v>
      </c>
      <c r="T65" s="38" t="str">
        <f t="shared" si="57"/>
        <v>decrease</v>
      </c>
      <c r="U65" s="38">
        <f t="shared" si="58"/>
        <v>-2</v>
      </c>
      <c r="V65" s="38" t="str">
        <f t="shared" si="59"/>
        <v>Nelson Island Her Gillnet</v>
      </c>
      <c r="W65" s="43">
        <f>IF(ISNA(VLOOKUP(B65,Table5Data!$A:$N,2,FALSE)),"-",VLOOKUP(B65,Table5Data!$A:$N,7,FALSE))</f>
        <v>0</v>
      </c>
    </row>
    <row r="66" spans="1:23" ht="15">
      <c r="A66" s="7" t="s">
        <v>285</v>
      </c>
      <c r="B66" s="7" t="s">
        <v>286</v>
      </c>
      <c r="C66" s="38">
        <f>IF(ISNA(VLOOKUP(B66,Table5Data!$A:$N,2,FALSE)),"-",VLOOKUP(B66,Table5Data!$A:$N,2,FALSE))</f>
        <v>0</v>
      </c>
      <c r="D66" s="38" t="str">
        <f t="shared" si="45"/>
        <v>constant</v>
      </c>
      <c r="E66" s="38">
        <f t="shared" si="46"/>
        <v>0</v>
      </c>
      <c r="F66" s="38" t="str">
        <f t="shared" si="47"/>
        <v>Nunivak Island Her Gillnet</v>
      </c>
      <c r="G66" s="43">
        <f>IF(ISNA(VLOOKUP(B66,Table5Data!$A:$N,2,FALSE)),"-",VLOOKUP(B66,Table5Data!$A:$N,3,FALSE))</f>
        <v>0</v>
      </c>
      <c r="H66" s="38" t="str">
        <f t="shared" si="48"/>
        <v>constant</v>
      </c>
      <c r="I66" s="38">
        <f t="shared" si="49"/>
        <v>0</v>
      </c>
      <c r="J66" s="38" t="str">
        <f t="shared" si="50"/>
        <v>Nunivak Island Her Gillnet</v>
      </c>
      <c r="K66" s="43">
        <f>IF(ISNA(VLOOKUP(B66,Table5Data!$A:$N,2,FALSE)),"-",VLOOKUP(B66,Table5Data!$A:$N,4,FALSE))</f>
        <v>0</v>
      </c>
      <c r="L66" s="38" t="str">
        <f t="shared" si="51"/>
        <v>constant</v>
      </c>
      <c r="M66" s="38">
        <f t="shared" si="52"/>
        <v>0</v>
      </c>
      <c r="N66" s="38" t="str">
        <f t="shared" si="53"/>
        <v>Nunivak Island Her Gillnet</v>
      </c>
      <c r="O66" s="43">
        <f>IF(ISNA(VLOOKUP(B66,Table5Data!$A:$N,2,FALSE)),"-",VLOOKUP(B66,Table5Data!$A:$N,5,FALSE))</f>
        <v>0</v>
      </c>
      <c r="P66" s="38" t="str">
        <f t="shared" si="54"/>
        <v>constant</v>
      </c>
      <c r="Q66" s="38">
        <f t="shared" si="55"/>
        <v>0</v>
      </c>
      <c r="R66" s="38" t="str">
        <f t="shared" si="56"/>
        <v>Nunivak Island Her Gillnet</v>
      </c>
      <c r="S66" s="43">
        <f>IF(ISNA(VLOOKUP(B66,Table5Data!$A:$N,2,FALSE)),"-",VLOOKUP(B66,Table5Data!$A:$N,6,FALSE))</f>
        <v>0</v>
      </c>
      <c r="T66" s="38" t="str">
        <f t="shared" si="57"/>
        <v>constant</v>
      </c>
      <c r="U66" s="38">
        <f t="shared" si="58"/>
        <v>0</v>
      </c>
      <c r="V66" s="38" t="str">
        <f t="shared" si="59"/>
        <v>Nunivak Island Her Gillnet</v>
      </c>
      <c r="W66" s="43">
        <f>IF(ISNA(VLOOKUP(B66,Table5Data!$A:$N,2,FALSE)),"-",VLOOKUP(B66,Table5Data!$A:$N,7,FALSE))</f>
        <v>0</v>
      </c>
    </row>
    <row r="67" spans="1:23" ht="15">
      <c r="A67" s="7" t="s">
        <v>287</v>
      </c>
      <c r="B67" s="7" t="s">
        <v>288</v>
      </c>
      <c r="C67" s="38">
        <f>IF(ISNA(VLOOKUP(B67,Table5Data!$A:$N,2,FALSE)),"-",VLOOKUP(B67,Table5Data!$A:$N,2,FALSE))</f>
        <v>1</v>
      </c>
      <c r="D67" s="38" t="str">
        <f t="shared" si="45"/>
        <v>increase</v>
      </c>
      <c r="E67" s="38">
        <f t="shared" si="46"/>
        <v>1</v>
      </c>
      <c r="F67" s="38" t="str">
        <f t="shared" si="47"/>
        <v>Lower Yukon Herring Gillnet</v>
      </c>
      <c r="G67" s="43">
        <f>IF(ISNA(VLOOKUP(B67,Table5Data!$A:$N,2,FALSE)),"-",VLOOKUP(B67,Table5Data!$A:$N,3,FALSE))</f>
        <v>0</v>
      </c>
      <c r="H67" s="38" t="str">
        <f t="shared" si="48"/>
        <v>constant</v>
      </c>
      <c r="I67" s="38">
        <f t="shared" si="49"/>
        <v>0</v>
      </c>
      <c r="J67" s="38" t="str">
        <f t="shared" si="50"/>
        <v>Lower Yukon Herring Gillnet</v>
      </c>
      <c r="K67" s="43">
        <f>IF(ISNA(VLOOKUP(B67,Table5Data!$A:$N,2,FALSE)),"-",VLOOKUP(B67,Table5Data!$A:$N,4,FALSE))</f>
        <v>0</v>
      </c>
      <c r="L67" s="38" t="str">
        <f t="shared" si="51"/>
        <v>constant</v>
      </c>
      <c r="M67" s="38">
        <f t="shared" si="52"/>
        <v>0</v>
      </c>
      <c r="N67" s="38" t="str">
        <f t="shared" si="53"/>
        <v>Lower Yukon Herring Gillnet</v>
      </c>
      <c r="O67" s="43">
        <f>IF(ISNA(VLOOKUP(B67,Table5Data!$A:$N,2,FALSE)),"-",VLOOKUP(B67,Table5Data!$A:$N,5,FALSE))</f>
        <v>-1</v>
      </c>
      <c r="P67" s="38" t="str">
        <f t="shared" si="54"/>
        <v>decrease</v>
      </c>
      <c r="Q67" s="38">
        <f t="shared" si="55"/>
        <v>-1</v>
      </c>
      <c r="R67" s="38" t="str">
        <f t="shared" si="56"/>
        <v>Lower Yukon Herring Gillnet</v>
      </c>
      <c r="S67" s="43">
        <f>IF(ISNA(VLOOKUP(B67,Table5Data!$A:$N,2,FALSE)),"-",VLOOKUP(B67,Table5Data!$A:$N,6,FALSE))</f>
        <v>0</v>
      </c>
      <c r="T67" s="38" t="str">
        <f t="shared" si="57"/>
        <v>constant</v>
      </c>
      <c r="U67" s="38">
        <f t="shared" si="58"/>
        <v>0</v>
      </c>
      <c r="V67" s="38" t="str">
        <f t="shared" si="59"/>
        <v>Lower Yukon Herring Gillnet</v>
      </c>
      <c r="W67" s="43">
        <f>IF(ISNA(VLOOKUP(B67,Table5Data!$A:$N,2,FALSE)),"-",VLOOKUP(B67,Table5Data!$A:$N,7,FALSE))</f>
        <v>0</v>
      </c>
    </row>
    <row r="68" spans="1:23" ht="15">
      <c r="A68" s="7" t="s">
        <v>289</v>
      </c>
      <c r="B68" s="7" t="s">
        <v>290</v>
      </c>
      <c r="C68" s="72">
        <f>IF(ISNA(VLOOKUP(B68,Table5Data!$A:$N,2,FALSE)),"-",VLOOKUP(B68,Table5Data!$A:$N,2,FALSE))</f>
        <v>-24</v>
      </c>
      <c r="D68" s="72" t="str">
        <f t="shared" si="45"/>
        <v>decrease</v>
      </c>
      <c r="E68" s="72">
        <f t="shared" si="46"/>
        <v>-24</v>
      </c>
      <c r="F68" s="72" t="str">
        <f t="shared" si="47"/>
        <v>Norton Sd Herring Gillnet</v>
      </c>
      <c r="G68" s="124">
        <f>IF(ISNA(VLOOKUP(B68,Table5Data!$A:$N,2,FALSE)),"-",VLOOKUP(B68,Table5Data!$A:$N,3,FALSE))</f>
        <v>28</v>
      </c>
      <c r="H68" s="72" t="str">
        <f t="shared" si="48"/>
        <v>increase</v>
      </c>
      <c r="I68" s="72">
        <f t="shared" si="49"/>
        <v>28</v>
      </c>
      <c r="J68" s="72" t="str">
        <f t="shared" si="50"/>
        <v>Norton Sd Herring Gillnet</v>
      </c>
      <c r="K68" s="124">
        <f>IF(ISNA(VLOOKUP(B68,Table5Data!$A:$N,2,FALSE)),"-",VLOOKUP(B68,Table5Data!$A:$N,4,FALSE))</f>
        <v>1</v>
      </c>
      <c r="L68" s="72" t="str">
        <f t="shared" si="51"/>
        <v>increase</v>
      </c>
      <c r="M68" s="72">
        <f t="shared" si="52"/>
        <v>1</v>
      </c>
      <c r="N68" s="72" t="str">
        <f t="shared" si="53"/>
        <v>Norton Sd Herring Gillnet</v>
      </c>
      <c r="O68" s="124">
        <f>IF(ISNA(VLOOKUP(B68,Table5Data!$A:$N,2,FALSE)),"-",VLOOKUP(B68,Table5Data!$A:$N,5,FALSE))</f>
        <v>-15</v>
      </c>
      <c r="P68" s="72" t="str">
        <f t="shared" si="54"/>
        <v>decrease</v>
      </c>
      <c r="Q68" s="72">
        <f t="shared" si="55"/>
        <v>-15</v>
      </c>
      <c r="R68" s="72" t="str">
        <f t="shared" si="56"/>
        <v>Norton Sd Herring Gillnet</v>
      </c>
      <c r="S68" s="124">
        <f>IF(ISNA(VLOOKUP(B68,Table5Data!$A:$N,2,FALSE)),"-",VLOOKUP(B68,Table5Data!$A:$N,6,FALSE))</f>
        <v>10</v>
      </c>
      <c r="T68" s="72" t="str">
        <f t="shared" si="57"/>
        <v>increase</v>
      </c>
      <c r="U68" s="72">
        <f t="shared" si="58"/>
        <v>10</v>
      </c>
      <c r="V68" s="72" t="str">
        <f t="shared" si="59"/>
        <v>Norton Sd Herring Gillnet</v>
      </c>
      <c r="W68" s="124">
        <f>IF(ISNA(VLOOKUP(B68,Table5Data!$A:$N,2,FALSE)),"-",VLOOKUP(B68,Table5Data!$A:$N,7,FALSE))</f>
        <v>0</v>
      </c>
    </row>
    <row r="69" spans="1:23" ht="15">
      <c r="A69" s="7"/>
      <c r="B69" s="7"/>
      <c r="C69" s="44">
        <f>SUM(C63:C68)</f>
        <v>-11</v>
      </c>
      <c r="D69" s="44"/>
      <c r="E69" s="44"/>
      <c r="F69" s="44"/>
      <c r="G69" s="44">
        <f>SUM(G63:G68)</f>
        <v>27</v>
      </c>
      <c r="H69" s="44"/>
      <c r="I69" s="44"/>
      <c r="J69" s="44"/>
      <c r="K69" s="44">
        <f>SUM(K63:K68)</f>
        <v>1</v>
      </c>
      <c r="L69" s="44"/>
      <c r="M69" s="44"/>
      <c r="N69" s="44"/>
      <c r="O69" s="44">
        <f>SUM(O63:O68)</f>
        <v>-25</v>
      </c>
      <c r="P69" s="44"/>
      <c r="Q69" s="44"/>
      <c r="R69" s="44"/>
      <c r="S69" s="44">
        <f>SUM(S63:S68)</f>
        <v>6</v>
      </c>
      <c r="T69" s="44"/>
      <c r="U69" s="44"/>
      <c r="V69" s="44"/>
      <c r="W69" s="44">
        <f>SUM(W63:W68)</f>
        <v>2</v>
      </c>
    </row>
    <row r="70" spans="1:23" ht="15">
      <c r="A70" s="8"/>
      <c r="B70" s="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5">
      <c r="A71" s="9">
        <v>1997</v>
      </c>
      <c r="B71" s="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5" hidden="1">
      <c r="A72" s="7" t="s">
        <v>291</v>
      </c>
      <c r="B72" s="7" t="s">
        <v>292</v>
      </c>
      <c r="C72" s="38" t="str">
        <f>IF(ISNA(VLOOKUP(B72,Table5Data!$A:$N,2,FALSE)),"-",VLOOKUP(B72,Table5Data!$A:$N,2,FALSE))</f>
        <v>-</v>
      </c>
      <c r="D72" s="38"/>
      <c r="E72" s="38"/>
      <c r="F72" s="38"/>
      <c r="G72" s="43" t="str">
        <f>IF(ISNA(VLOOKUP(B72,Table5Data!$A:$N,2,FALSE)),"-",VLOOKUP(B72,Table5Data!$A:$N,3,FALSE))</f>
        <v>-</v>
      </c>
      <c r="H72" s="38"/>
      <c r="I72" s="38"/>
      <c r="J72" s="38"/>
      <c r="K72" s="43" t="str">
        <f>IF(ISNA(VLOOKUP(B72,Table5Data!$A:$N,2,FALSE)),"-",VLOOKUP(B72,Table5Data!$A:$N,4,FALSE))</f>
        <v>-</v>
      </c>
      <c r="L72" s="38"/>
      <c r="M72" s="38"/>
      <c r="N72" s="38"/>
      <c r="O72" s="43" t="str">
        <f>IF(ISNA(VLOOKUP(B72,Table5Data!$A:$N,2,FALSE)),"-",VLOOKUP(B72,Table5Data!$A:$N,5,FALSE))</f>
        <v>-</v>
      </c>
      <c r="P72" s="38"/>
      <c r="Q72" s="38"/>
      <c r="R72" s="38"/>
      <c r="S72" s="43" t="str">
        <f>IF(ISNA(VLOOKUP(B72,Table5Data!$A:$N,2,FALSE)),"-",VLOOKUP(B72,Table5Data!$A:$N,6,FALSE))</f>
        <v>-</v>
      </c>
      <c r="T72" s="38"/>
      <c r="U72" s="38"/>
      <c r="V72" s="38"/>
      <c r="W72" s="43" t="str">
        <f>IF(ISNA(VLOOKUP(B72,Table5Data!$A:$N,2,FALSE)),"-",VLOOKUP(B72,Table5Data!$A:$N,7,FALSE))</f>
        <v>-</v>
      </c>
    </row>
    <row r="73" spans="1:23" ht="15" hidden="1">
      <c r="A73" s="7" t="s">
        <v>293</v>
      </c>
      <c r="B73" s="7" t="s">
        <v>294</v>
      </c>
      <c r="C73" s="38" t="str">
        <f>IF(ISNA(VLOOKUP(B73,Table5Data!$A:$N,2,FALSE)),"-",VLOOKUP(B73,Table5Data!$A:$N,2,FALSE))</f>
        <v>-</v>
      </c>
      <c r="D73" s="38"/>
      <c r="E73" s="38"/>
      <c r="F73" s="38"/>
      <c r="G73" s="43" t="str">
        <f>IF(ISNA(VLOOKUP(B73,Table5Data!$A:$N,2,FALSE)),"-",VLOOKUP(B73,Table5Data!$A:$N,3,FALSE))</f>
        <v>-</v>
      </c>
      <c r="H73" s="38"/>
      <c r="I73" s="38"/>
      <c r="J73" s="38"/>
      <c r="K73" s="43" t="str">
        <f>IF(ISNA(VLOOKUP(B73,Table5Data!$A:$N,2,FALSE)),"-",VLOOKUP(B73,Table5Data!$A:$N,4,FALSE))</f>
        <v>-</v>
      </c>
      <c r="L73" s="38"/>
      <c r="M73" s="38"/>
      <c r="N73" s="38"/>
      <c r="O73" s="43" t="str">
        <f>IF(ISNA(VLOOKUP(B73,Table5Data!$A:$N,2,FALSE)),"-",VLOOKUP(B73,Table5Data!$A:$N,5,FALSE))</f>
        <v>-</v>
      </c>
      <c r="P73" s="38"/>
      <c r="Q73" s="38"/>
      <c r="R73" s="38"/>
      <c r="S73" s="43" t="str">
        <f>IF(ISNA(VLOOKUP(B73,Table5Data!$A:$N,2,FALSE)),"-",VLOOKUP(B73,Table5Data!$A:$N,6,FALSE))</f>
        <v>-</v>
      </c>
      <c r="T73" s="38"/>
      <c r="U73" s="38"/>
      <c r="V73" s="38"/>
      <c r="W73" s="43" t="str">
        <f>IF(ISNA(VLOOKUP(B73,Table5Data!$A:$N,2,FALSE)),"-",VLOOKUP(B73,Table5Data!$A:$N,7,FALSE))</f>
        <v>-</v>
      </c>
    </row>
    <row r="74" spans="1:23" ht="15">
      <c r="A74" s="7" t="s">
        <v>295</v>
      </c>
      <c r="B74" s="7" t="s">
        <v>296</v>
      </c>
      <c r="C74" s="38">
        <f>IF(ISNA(VLOOKUP(B74,Table5Data!$A:$N,2,FALSE)),"-",VLOOKUP(B74,Table5Data!$A:$N,2,FALSE))</f>
        <v>0</v>
      </c>
      <c r="D74" s="38" t="str">
        <f aca="true" t="shared" si="60" ref="D74:D79">IF(C74&lt;0,"decrease",IF(C74=0,"constant","increase"))</f>
        <v>constant</v>
      </c>
      <c r="E74" s="38">
        <f aca="true" t="shared" si="61" ref="E74:E79">C74</f>
        <v>0</v>
      </c>
      <c r="F74" s="38" t="str">
        <f aca="true" t="shared" si="62" ref="F74:F79">A74</f>
        <v>SE Dungeness 300 Pot</v>
      </c>
      <c r="G74" s="43">
        <f>IF(ISNA(VLOOKUP(B74,Table5Data!$A:$N,2,FALSE)),"-",VLOOKUP(B74,Table5Data!$A:$N,3,FALSE))</f>
        <v>0</v>
      </c>
      <c r="H74" s="38" t="str">
        <f aca="true" t="shared" si="63" ref="H74:H79">IF(G74&lt;0,"decrease",IF(G74=0,"constant","increase"))</f>
        <v>constant</v>
      </c>
      <c r="I74" s="38">
        <f aca="true" t="shared" si="64" ref="I74:I79">G74</f>
        <v>0</v>
      </c>
      <c r="J74" s="38" t="str">
        <f aca="true" t="shared" si="65" ref="J74:J79">F74</f>
        <v>SE Dungeness 300 Pot</v>
      </c>
      <c r="K74" s="43">
        <f>IF(ISNA(VLOOKUP(B74,Table5Data!$A:$N,2,FALSE)),"-",VLOOKUP(B74,Table5Data!$A:$N,4,FALSE))</f>
        <v>9</v>
      </c>
      <c r="L74" s="38" t="str">
        <f aca="true" t="shared" si="66" ref="L74:L79">IF(K74&lt;0,"decrease",IF(K74=0,"constant","increase"))</f>
        <v>increase</v>
      </c>
      <c r="M74" s="38">
        <f aca="true" t="shared" si="67" ref="M74:M79">K74</f>
        <v>9</v>
      </c>
      <c r="N74" s="38" t="str">
        <f aca="true" t="shared" si="68" ref="N74:N79">J74</f>
        <v>SE Dungeness 300 Pot</v>
      </c>
      <c r="O74" s="43">
        <f>IF(ISNA(VLOOKUP(B74,Table5Data!$A:$N,2,FALSE)),"-",VLOOKUP(B74,Table5Data!$A:$N,5,FALSE))</f>
        <v>1</v>
      </c>
      <c r="P74" s="38" t="str">
        <f aca="true" t="shared" si="69" ref="P74:P79">IF(O74&lt;0,"decrease",IF(O74=0,"constant","increase"))</f>
        <v>increase</v>
      </c>
      <c r="Q74" s="38">
        <f aca="true" t="shared" si="70" ref="Q74:Q79">O74</f>
        <v>1</v>
      </c>
      <c r="R74" s="38" t="str">
        <f aca="true" t="shared" si="71" ref="R74:R79">N74</f>
        <v>SE Dungeness 300 Pot</v>
      </c>
      <c r="S74" s="43">
        <f>IF(ISNA(VLOOKUP(B74,Table5Data!$A:$N,2,FALSE)),"-",VLOOKUP(B74,Table5Data!$A:$N,6,FALSE))</f>
        <v>-10</v>
      </c>
      <c r="T74" s="38" t="str">
        <f aca="true" t="shared" si="72" ref="T74:T79">IF(S74&lt;0,"decrease",IF(S74=0,"constant","increase"))</f>
        <v>decrease</v>
      </c>
      <c r="U74" s="38">
        <f aca="true" t="shared" si="73" ref="U74:U79">S74</f>
        <v>-10</v>
      </c>
      <c r="V74" s="38" t="str">
        <f aca="true" t="shared" si="74" ref="V74:V79">R74</f>
        <v>SE Dungeness 300 Pot</v>
      </c>
      <c r="W74" s="43">
        <f>IF(ISNA(VLOOKUP(B74,Table5Data!$A:$N,2,FALSE)),"-",VLOOKUP(B74,Table5Data!$A:$N,7,FALSE))</f>
        <v>0</v>
      </c>
    </row>
    <row r="75" spans="1:23" ht="15">
      <c r="A75" s="7" t="s">
        <v>297</v>
      </c>
      <c r="B75" s="7" t="s">
        <v>298</v>
      </c>
      <c r="C75" s="38">
        <f>IF(ISNA(VLOOKUP(B75,Table5Data!$A:$N,2,FALSE)),"-",VLOOKUP(B75,Table5Data!$A:$N,2,FALSE))</f>
        <v>2</v>
      </c>
      <c r="D75" s="38" t="str">
        <f t="shared" si="60"/>
        <v>increase</v>
      </c>
      <c r="E75" s="38">
        <f t="shared" si="61"/>
        <v>2</v>
      </c>
      <c r="F75" s="38" t="str">
        <f t="shared" si="62"/>
        <v>SE Dungeness 225 Pot</v>
      </c>
      <c r="G75" s="43">
        <f>IF(ISNA(VLOOKUP(B75,Table5Data!$A:$N,2,FALSE)),"-",VLOOKUP(B75,Table5Data!$A:$N,3,FALSE))</f>
        <v>0</v>
      </c>
      <c r="H75" s="38" t="str">
        <f t="shared" si="63"/>
        <v>constant</v>
      </c>
      <c r="I75" s="38">
        <f t="shared" si="64"/>
        <v>0</v>
      </c>
      <c r="J75" s="38" t="str">
        <f t="shared" si="65"/>
        <v>SE Dungeness 225 Pot</v>
      </c>
      <c r="K75" s="43">
        <f>IF(ISNA(VLOOKUP(B75,Table5Data!$A:$N,2,FALSE)),"-",VLOOKUP(B75,Table5Data!$A:$N,4,FALSE))</f>
        <v>5</v>
      </c>
      <c r="L75" s="38" t="str">
        <f t="shared" si="66"/>
        <v>increase</v>
      </c>
      <c r="M75" s="38">
        <f t="shared" si="67"/>
        <v>5</v>
      </c>
      <c r="N75" s="38" t="str">
        <f t="shared" si="68"/>
        <v>SE Dungeness 225 Pot</v>
      </c>
      <c r="O75" s="43">
        <f>IF(ISNA(VLOOKUP(B75,Table5Data!$A:$N,2,FALSE)),"-",VLOOKUP(B75,Table5Data!$A:$N,5,FALSE))</f>
        <v>-2</v>
      </c>
      <c r="P75" s="38" t="str">
        <f t="shared" si="69"/>
        <v>decrease</v>
      </c>
      <c r="Q75" s="38">
        <f t="shared" si="70"/>
        <v>-2</v>
      </c>
      <c r="R75" s="38" t="str">
        <f t="shared" si="71"/>
        <v>SE Dungeness 225 Pot</v>
      </c>
      <c r="S75" s="43">
        <f>IF(ISNA(VLOOKUP(B75,Table5Data!$A:$N,2,FALSE)),"-",VLOOKUP(B75,Table5Data!$A:$N,6,FALSE))</f>
        <v>-5</v>
      </c>
      <c r="T75" s="38" t="str">
        <f t="shared" si="72"/>
        <v>decrease</v>
      </c>
      <c r="U75" s="38">
        <f t="shared" si="73"/>
        <v>-5</v>
      </c>
      <c r="V75" s="38" t="str">
        <f t="shared" si="74"/>
        <v>SE Dungeness 225 Pot</v>
      </c>
      <c r="W75" s="43">
        <f>IF(ISNA(VLOOKUP(B75,Table5Data!$A:$N,2,FALSE)),"-",VLOOKUP(B75,Table5Data!$A:$N,7,FALSE))</f>
        <v>0</v>
      </c>
    </row>
    <row r="76" spans="1:23" ht="15">
      <c r="A76" s="7" t="s">
        <v>299</v>
      </c>
      <c r="B76" s="7" t="s">
        <v>300</v>
      </c>
      <c r="C76" s="38">
        <f>IF(ISNA(VLOOKUP(B76,Table5Data!$A:$N,2,FALSE)),"-",VLOOKUP(B76,Table5Data!$A:$N,2,FALSE))</f>
        <v>10</v>
      </c>
      <c r="D76" s="38" t="str">
        <f t="shared" si="60"/>
        <v>increase</v>
      </c>
      <c r="E76" s="38">
        <f t="shared" si="61"/>
        <v>10</v>
      </c>
      <c r="F76" s="38" t="str">
        <f t="shared" si="62"/>
        <v>SE Dungeness 150 Pot</v>
      </c>
      <c r="G76" s="43">
        <f>IF(ISNA(VLOOKUP(B76,Table5Data!$A:$N,2,FALSE)),"-",VLOOKUP(B76,Table5Data!$A:$N,3,FALSE))</f>
        <v>0</v>
      </c>
      <c r="H76" s="38" t="str">
        <f t="shared" si="63"/>
        <v>constant</v>
      </c>
      <c r="I76" s="38">
        <f t="shared" si="64"/>
        <v>0</v>
      </c>
      <c r="J76" s="38" t="str">
        <f t="shared" si="65"/>
        <v>SE Dungeness 150 Pot</v>
      </c>
      <c r="K76" s="43">
        <f>IF(ISNA(VLOOKUP(B76,Table5Data!$A:$N,2,FALSE)),"-",VLOOKUP(B76,Table5Data!$A:$N,4,FALSE))</f>
        <v>-10</v>
      </c>
      <c r="L76" s="38" t="str">
        <f t="shared" si="66"/>
        <v>decrease</v>
      </c>
      <c r="M76" s="38">
        <f t="shared" si="67"/>
        <v>-10</v>
      </c>
      <c r="N76" s="38" t="str">
        <f t="shared" si="68"/>
        <v>SE Dungeness 150 Pot</v>
      </c>
      <c r="O76" s="43">
        <f>IF(ISNA(VLOOKUP(B76,Table5Data!$A:$N,2,FALSE)),"-",VLOOKUP(B76,Table5Data!$A:$N,5,FALSE))</f>
        <v>-3</v>
      </c>
      <c r="P76" s="38" t="str">
        <f t="shared" si="69"/>
        <v>decrease</v>
      </c>
      <c r="Q76" s="38">
        <f t="shared" si="70"/>
        <v>-3</v>
      </c>
      <c r="R76" s="38" t="str">
        <f t="shared" si="71"/>
        <v>SE Dungeness 150 Pot</v>
      </c>
      <c r="S76" s="43">
        <f>IF(ISNA(VLOOKUP(B76,Table5Data!$A:$N,2,FALSE)),"-",VLOOKUP(B76,Table5Data!$A:$N,6,FALSE))</f>
        <v>3</v>
      </c>
      <c r="T76" s="38" t="str">
        <f t="shared" si="72"/>
        <v>increase</v>
      </c>
      <c r="U76" s="38">
        <f t="shared" si="73"/>
        <v>3</v>
      </c>
      <c r="V76" s="38" t="str">
        <f t="shared" si="74"/>
        <v>SE Dungeness 150 Pot</v>
      </c>
      <c r="W76" s="43">
        <f>IF(ISNA(VLOOKUP(B76,Table5Data!$A:$N,2,FALSE)),"-",VLOOKUP(B76,Table5Data!$A:$N,7,FALSE))</f>
        <v>0</v>
      </c>
    </row>
    <row r="77" spans="1:23" ht="15">
      <c r="A77" s="7" t="s">
        <v>301</v>
      </c>
      <c r="B77" s="7" t="s">
        <v>302</v>
      </c>
      <c r="C77" s="38">
        <f>IF(ISNA(VLOOKUP(B77,Table5Data!$A:$N,2,FALSE)),"-",VLOOKUP(B77,Table5Data!$A:$N,2,FALSE))</f>
        <v>-5</v>
      </c>
      <c r="D77" s="38" t="str">
        <f t="shared" si="60"/>
        <v>decrease</v>
      </c>
      <c r="E77" s="38">
        <f t="shared" si="61"/>
        <v>-5</v>
      </c>
      <c r="F77" s="38" t="str">
        <f t="shared" si="62"/>
        <v>SE Dungeness 75 Pot</v>
      </c>
      <c r="G77" s="43">
        <f>IF(ISNA(VLOOKUP(B77,Table5Data!$A:$N,2,FALSE)),"-",VLOOKUP(B77,Table5Data!$A:$N,3,FALSE))</f>
        <v>1</v>
      </c>
      <c r="H77" s="38" t="str">
        <f t="shared" si="63"/>
        <v>increase</v>
      </c>
      <c r="I77" s="38">
        <f t="shared" si="64"/>
        <v>1</v>
      </c>
      <c r="J77" s="38" t="str">
        <f t="shared" si="65"/>
        <v>SE Dungeness 75 Pot</v>
      </c>
      <c r="K77" s="43">
        <f>IF(ISNA(VLOOKUP(B77,Table5Data!$A:$N,2,FALSE)),"-",VLOOKUP(B77,Table5Data!$A:$N,4,FALSE))</f>
        <v>-1</v>
      </c>
      <c r="L77" s="38" t="str">
        <f t="shared" si="66"/>
        <v>decrease</v>
      </c>
      <c r="M77" s="38">
        <f t="shared" si="67"/>
        <v>-1</v>
      </c>
      <c r="N77" s="38" t="str">
        <f t="shared" si="68"/>
        <v>SE Dungeness 75 Pot</v>
      </c>
      <c r="O77" s="43">
        <f>IF(ISNA(VLOOKUP(B77,Table5Data!$A:$N,2,FALSE)),"-",VLOOKUP(B77,Table5Data!$A:$N,5,FALSE))</f>
        <v>0</v>
      </c>
      <c r="P77" s="38" t="str">
        <f t="shared" si="69"/>
        <v>constant</v>
      </c>
      <c r="Q77" s="38">
        <f t="shared" si="70"/>
        <v>0</v>
      </c>
      <c r="R77" s="38" t="str">
        <f t="shared" si="71"/>
        <v>SE Dungeness 75 Pot</v>
      </c>
      <c r="S77" s="43">
        <f>IF(ISNA(VLOOKUP(B77,Table5Data!$A:$N,2,FALSE)),"-",VLOOKUP(B77,Table5Data!$A:$N,6,FALSE))</f>
        <v>5</v>
      </c>
      <c r="T77" s="38" t="str">
        <f t="shared" si="72"/>
        <v>increase</v>
      </c>
      <c r="U77" s="38">
        <f t="shared" si="73"/>
        <v>5</v>
      </c>
      <c r="V77" s="38" t="str">
        <f t="shared" si="74"/>
        <v>SE Dungeness 75 Pot</v>
      </c>
      <c r="W77" s="43">
        <f>IF(ISNA(VLOOKUP(B77,Table5Data!$A:$N,2,FALSE)),"-",VLOOKUP(B77,Table5Data!$A:$N,7,FALSE))</f>
        <v>0</v>
      </c>
    </row>
    <row r="78" spans="1:23" ht="15">
      <c r="A78" s="7" t="s">
        <v>303</v>
      </c>
      <c r="B78" s="7" t="s">
        <v>304</v>
      </c>
      <c r="C78" s="38" t="str">
        <f>IF(ISNA(VLOOKUP(B78,Table5Data!$A:$N,2,FALSE)),"-",VLOOKUP(B78,Table5Data!$A:$N,2,FALSE))</f>
        <v>-</v>
      </c>
      <c r="D78" s="38" t="str">
        <f t="shared" si="60"/>
        <v>increase</v>
      </c>
      <c r="E78" s="38" t="str">
        <f t="shared" si="61"/>
        <v>-</v>
      </c>
      <c r="F78" s="38" t="str">
        <f t="shared" si="62"/>
        <v>Cook Inlet Dunge Ring Net</v>
      </c>
      <c r="G78" s="43" t="str">
        <f>IF(ISNA(VLOOKUP(B78,Table5Data!$A:$N,2,FALSE)),"-",VLOOKUP(B78,Table5Data!$A:$N,3,FALSE))</f>
        <v>-</v>
      </c>
      <c r="H78" s="38" t="str">
        <f t="shared" si="63"/>
        <v>increase</v>
      </c>
      <c r="I78" s="38" t="str">
        <f t="shared" si="64"/>
        <v>-</v>
      </c>
      <c r="J78" s="38" t="str">
        <f t="shared" si="65"/>
        <v>Cook Inlet Dunge Ring Net</v>
      </c>
      <c r="K78" s="43" t="str">
        <f>IF(ISNA(VLOOKUP(B78,Table5Data!$A:$N,2,FALSE)),"-",VLOOKUP(B78,Table5Data!$A:$N,4,FALSE))</f>
        <v>-</v>
      </c>
      <c r="L78" s="38" t="str">
        <f t="shared" si="66"/>
        <v>increase</v>
      </c>
      <c r="M78" s="38" t="str">
        <f t="shared" si="67"/>
        <v>-</v>
      </c>
      <c r="N78" s="38" t="str">
        <f t="shared" si="68"/>
        <v>Cook Inlet Dunge Ring Net</v>
      </c>
      <c r="O78" s="43" t="str">
        <f>IF(ISNA(VLOOKUP(B78,Table5Data!$A:$N,2,FALSE)),"-",VLOOKUP(B78,Table5Data!$A:$N,5,FALSE))</f>
        <v>-</v>
      </c>
      <c r="P78" s="38" t="str">
        <f t="shared" si="69"/>
        <v>increase</v>
      </c>
      <c r="Q78" s="38" t="str">
        <f t="shared" si="70"/>
        <v>-</v>
      </c>
      <c r="R78" s="38" t="str">
        <f t="shared" si="71"/>
        <v>Cook Inlet Dunge Ring Net</v>
      </c>
      <c r="S78" s="43" t="str">
        <f>IF(ISNA(VLOOKUP(B78,Table5Data!$A:$N,2,FALSE)),"-",VLOOKUP(B78,Table5Data!$A:$N,6,FALSE))</f>
        <v>-</v>
      </c>
      <c r="T78" s="38" t="str">
        <f t="shared" si="72"/>
        <v>increase</v>
      </c>
      <c r="U78" s="38" t="str">
        <f t="shared" si="73"/>
        <v>-</v>
      </c>
      <c r="V78" s="38" t="str">
        <f t="shared" si="74"/>
        <v>Cook Inlet Dunge Ring Net</v>
      </c>
      <c r="W78" s="43" t="str">
        <f>IF(ISNA(VLOOKUP(B78,Table5Data!$A:$N,2,FALSE)),"-",VLOOKUP(B78,Table5Data!$A:$N,7,FALSE))</f>
        <v>-</v>
      </c>
    </row>
    <row r="79" spans="1:23" ht="15">
      <c r="A79" s="7" t="s">
        <v>305</v>
      </c>
      <c r="B79" s="7" t="s">
        <v>306</v>
      </c>
      <c r="C79" s="72">
        <f>IF(ISNA(VLOOKUP(B79,Table5Data!$A:$N,2,FALSE)),"-",VLOOKUP(B79,Table5Data!$A:$N,2,FALSE))</f>
        <v>0</v>
      </c>
      <c r="D79" s="72" t="str">
        <f t="shared" si="60"/>
        <v>constant</v>
      </c>
      <c r="E79" s="72">
        <f t="shared" si="61"/>
        <v>0</v>
      </c>
      <c r="F79" s="72" t="str">
        <f t="shared" si="62"/>
        <v>Cook Inlet Dungeness Pot</v>
      </c>
      <c r="G79" s="124">
        <f>IF(ISNA(VLOOKUP(B79,Table5Data!$A:$N,2,FALSE)),"-",VLOOKUP(B79,Table5Data!$A:$N,3,FALSE))</f>
        <v>0</v>
      </c>
      <c r="H79" s="72" t="str">
        <f t="shared" si="63"/>
        <v>constant</v>
      </c>
      <c r="I79" s="72">
        <f t="shared" si="64"/>
        <v>0</v>
      </c>
      <c r="J79" s="72" t="str">
        <f t="shared" si="65"/>
        <v>Cook Inlet Dungeness Pot</v>
      </c>
      <c r="K79" s="124">
        <f>IF(ISNA(VLOOKUP(B79,Table5Data!$A:$N,2,FALSE)),"-",VLOOKUP(B79,Table5Data!$A:$N,4,FALSE))</f>
        <v>0</v>
      </c>
      <c r="L79" s="72" t="str">
        <f t="shared" si="66"/>
        <v>constant</v>
      </c>
      <c r="M79" s="72">
        <f t="shared" si="67"/>
        <v>0</v>
      </c>
      <c r="N79" s="72" t="str">
        <f t="shared" si="68"/>
        <v>Cook Inlet Dungeness Pot</v>
      </c>
      <c r="O79" s="124">
        <f>IF(ISNA(VLOOKUP(B79,Table5Data!$A:$N,2,FALSE)),"-",VLOOKUP(B79,Table5Data!$A:$N,5,FALSE))</f>
        <v>0</v>
      </c>
      <c r="P79" s="72" t="str">
        <f t="shared" si="69"/>
        <v>constant</v>
      </c>
      <c r="Q79" s="72">
        <f t="shared" si="70"/>
        <v>0</v>
      </c>
      <c r="R79" s="72" t="str">
        <f t="shared" si="71"/>
        <v>Cook Inlet Dungeness Pot</v>
      </c>
      <c r="S79" s="124">
        <f>IF(ISNA(VLOOKUP(B79,Table5Data!$A:$N,2,FALSE)),"-",VLOOKUP(B79,Table5Data!$A:$N,6,FALSE))</f>
        <v>0</v>
      </c>
      <c r="T79" s="72" t="str">
        <f t="shared" si="72"/>
        <v>constant</v>
      </c>
      <c r="U79" s="72">
        <f t="shared" si="73"/>
        <v>0</v>
      </c>
      <c r="V79" s="72" t="str">
        <f t="shared" si="74"/>
        <v>Cook Inlet Dungeness Pot</v>
      </c>
      <c r="W79" s="124">
        <f>IF(ISNA(VLOOKUP(B79,Table5Data!$A:$N,2,FALSE)),"-",VLOOKUP(B79,Table5Data!$A:$N,7,FALSE))</f>
        <v>0</v>
      </c>
    </row>
    <row r="80" spans="1:23" ht="15">
      <c r="A80" s="7"/>
      <c r="B80" s="7"/>
      <c r="C80" s="44">
        <f>SUM(C72:C79)</f>
        <v>7</v>
      </c>
      <c r="D80" s="44"/>
      <c r="E80" s="44"/>
      <c r="F80" s="44"/>
      <c r="G80" s="44">
        <f>SUM(G72:G79)</f>
        <v>1</v>
      </c>
      <c r="H80" s="44"/>
      <c r="I80" s="44"/>
      <c r="J80" s="44"/>
      <c r="K80" s="44">
        <f>SUM(K72:K79)</f>
        <v>3</v>
      </c>
      <c r="L80" s="44"/>
      <c r="M80" s="44"/>
      <c r="N80" s="44"/>
      <c r="O80" s="44">
        <f>SUM(O72:O79)</f>
        <v>-4</v>
      </c>
      <c r="P80" s="44"/>
      <c r="Q80" s="44"/>
      <c r="R80" s="44"/>
      <c r="S80" s="44">
        <f>SUM(S72:S79)</f>
        <v>-7</v>
      </c>
      <c r="T80" s="44"/>
      <c r="U80" s="44"/>
      <c r="V80" s="44"/>
      <c r="W80" s="44">
        <f>SUM(W72:W79)</f>
        <v>0</v>
      </c>
    </row>
    <row r="81" spans="1:23" ht="15">
      <c r="A81" s="8"/>
      <c r="B81" s="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">
      <c r="A82" s="9">
        <v>1998</v>
      </c>
      <c r="B82" s="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5">
      <c r="A83" s="7" t="s">
        <v>307</v>
      </c>
      <c r="B83" s="7" t="s">
        <v>308</v>
      </c>
      <c r="C83" s="38">
        <f>IF(ISNA(VLOOKUP(B83,Table5Data!$A:$N,2,FALSE)),"-",VLOOKUP(B83,Table5Data!$A:$N,2,FALSE))</f>
        <v>0</v>
      </c>
      <c r="D83" s="38" t="str">
        <f aca="true" t="shared" si="75" ref="D83:D92">IF(C83&lt;0,"decrease",IF(C83=0,"constant","increase"))</f>
        <v>constant</v>
      </c>
      <c r="E83" s="38">
        <f aca="true" t="shared" si="76" ref="E83:E92">C83</f>
        <v>0</v>
      </c>
      <c r="F83" s="38" t="str">
        <f aca="true" t="shared" si="77" ref="F83:F92">A83</f>
        <v>NSE Her Spawn on Kelp Pound</v>
      </c>
      <c r="G83" s="43">
        <f>IF(ISNA(VLOOKUP(B83,Table5Data!$A:$N,2,FALSE)),"-",VLOOKUP(B83,Table5Data!$A:$N,3,FALSE))</f>
        <v>-1</v>
      </c>
      <c r="H83" s="38" t="str">
        <f aca="true" t="shared" si="78" ref="H83:H92">IF(G83&lt;0,"decrease",IF(G83=0,"constant","increase"))</f>
        <v>decrease</v>
      </c>
      <c r="I83" s="38">
        <f aca="true" t="shared" si="79" ref="I83:I92">G83</f>
        <v>-1</v>
      </c>
      <c r="J83" s="38" t="str">
        <f>F83</f>
        <v>NSE Her Spawn on Kelp Pound</v>
      </c>
      <c r="K83" s="43">
        <f>IF(ISNA(VLOOKUP(B83,Table5Data!$A:$N,2,FALSE)),"-",VLOOKUP(B83,Table5Data!$A:$N,4,FALSE))</f>
        <v>13</v>
      </c>
      <c r="L83" s="38" t="str">
        <f aca="true" t="shared" si="80" ref="L83:L92">IF(K83&lt;0,"decrease",IF(K83=0,"constant","increase"))</f>
        <v>increase</v>
      </c>
      <c r="M83" s="38">
        <f aca="true" t="shared" si="81" ref="M83:M92">K83</f>
        <v>13</v>
      </c>
      <c r="N83" s="38" t="str">
        <f>J83</f>
        <v>NSE Her Spawn on Kelp Pound</v>
      </c>
      <c r="O83" s="43">
        <f>IF(ISNA(VLOOKUP(B83,Table5Data!$A:$N,2,FALSE)),"-",VLOOKUP(B83,Table5Data!$A:$N,5,FALSE))</f>
        <v>-4</v>
      </c>
      <c r="P83" s="38" t="str">
        <f aca="true" t="shared" si="82" ref="P83:P92">IF(O83&lt;0,"decrease",IF(O83=0,"constant","increase"))</f>
        <v>decrease</v>
      </c>
      <c r="Q83" s="38">
        <f aca="true" t="shared" si="83" ref="Q83:Q92">O83</f>
        <v>-4</v>
      </c>
      <c r="R83" s="38" t="str">
        <f>N83</f>
        <v>NSE Her Spawn on Kelp Pound</v>
      </c>
      <c r="S83" s="43">
        <f>IF(ISNA(VLOOKUP(B83,Table5Data!$A:$N,2,FALSE)),"-",VLOOKUP(B83,Table5Data!$A:$N,6,FALSE))</f>
        <v>-8</v>
      </c>
      <c r="T83" s="38" t="str">
        <f aca="true" t="shared" si="84" ref="T83:T92">IF(S83&lt;0,"decrease",IF(S83=0,"constant","increase"))</f>
        <v>decrease</v>
      </c>
      <c r="U83" s="38">
        <f aca="true" t="shared" si="85" ref="U83:U92">S83</f>
        <v>-8</v>
      </c>
      <c r="V83" s="38" t="str">
        <f>R83</f>
        <v>NSE Her Spawn on Kelp Pound</v>
      </c>
      <c r="W83" s="43">
        <f>IF(ISNA(VLOOKUP(B83,Table5Data!$A:$N,2,FALSE)),"-",VLOOKUP(B83,Table5Data!$A:$N,7,FALSE))</f>
        <v>0</v>
      </c>
    </row>
    <row r="84" spans="1:23" ht="15">
      <c r="A84" s="7" t="s">
        <v>309</v>
      </c>
      <c r="B84" s="7" t="s">
        <v>310</v>
      </c>
      <c r="C84" s="38">
        <f>IF(ISNA(VLOOKUP(B84,Table5Data!$A:$N,2,FALSE)),"-",VLOOKUP(B84,Table5Data!$A:$N,2,FALSE))</f>
        <v>-23</v>
      </c>
      <c r="D84" s="38" t="str">
        <f t="shared" si="75"/>
        <v>decrease</v>
      </c>
      <c r="E84" s="38">
        <f t="shared" si="76"/>
        <v>-23</v>
      </c>
      <c r="F84" s="38" t="str">
        <f t="shared" si="77"/>
        <v>SSE Her Spawn on Kelp Pound</v>
      </c>
      <c r="G84" s="43">
        <f>IF(ISNA(VLOOKUP(B84,Table5Data!$A:$N,2,FALSE)),"-",VLOOKUP(B84,Table5Data!$A:$N,3,FALSE))</f>
        <v>1</v>
      </c>
      <c r="H84" s="38" t="str">
        <f t="shared" si="78"/>
        <v>increase</v>
      </c>
      <c r="I84" s="38">
        <f t="shared" si="79"/>
        <v>1</v>
      </c>
      <c r="J84" s="38" t="str">
        <f aca="true" t="shared" si="86" ref="J84:J92">F84</f>
        <v>SSE Her Spawn on Kelp Pound</v>
      </c>
      <c r="K84" s="43">
        <f>IF(ISNA(VLOOKUP(B84,Table5Data!$A:$N,2,FALSE)),"-",VLOOKUP(B84,Table5Data!$A:$N,4,FALSE))</f>
        <v>22</v>
      </c>
      <c r="L84" s="38" t="str">
        <f t="shared" si="80"/>
        <v>increase</v>
      </c>
      <c r="M84" s="38">
        <f t="shared" si="81"/>
        <v>22</v>
      </c>
      <c r="N84" s="38" t="str">
        <f aca="true" t="shared" si="87" ref="N84:N92">J84</f>
        <v>SSE Her Spawn on Kelp Pound</v>
      </c>
      <c r="O84" s="43">
        <f>IF(ISNA(VLOOKUP(B84,Table5Data!$A:$N,2,FALSE)),"-",VLOOKUP(B84,Table5Data!$A:$N,5,FALSE))</f>
        <v>0</v>
      </c>
      <c r="P84" s="38" t="str">
        <f t="shared" si="82"/>
        <v>constant</v>
      </c>
      <c r="Q84" s="38">
        <f t="shared" si="83"/>
        <v>0</v>
      </c>
      <c r="R84" s="38" t="str">
        <f aca="true" t="shared" si="88" ref="R84:R92">N84</f>
        <v>SSE Her Spawn on Kelp Pound</v>
      </c>
      <c r="S84" s="43">
        <f>IF(ISNA(VLOOKUP(B84,Table5Data!$A:$N,2,FALSE)),"-",VLOOKUP(B84,Table5Data!$A:$N,6,FALSE))</f>
        <v>0</v>
      </c>
      <c r="T84" s="38" t="str">
        <f t="shared" si="84"/>
        <v>constant</v>
      </c>
      <c r="U84" s="38">
        <f t="shared" si="85"/>
        <v>0</v>
      </c>
      <c r="V84" s="38" t="str">
        <f aca="true" t="shared" si="89" ref="V84:V92">R84</f>
        <v>SSE Her Spawn on Kelp Pound</v>
      </c>
      <c r="W84" s="43">
        <f>IF(ISNA(VLOOKUP(B84,Table5Data!$A:$N,2,FALSE)),"-",VLOOKUP(B84,Table5Data!$A:$N,7,FALSE))</f>
        <v>0</v>
      </c>
    </row>
    <row r="85" spans="1:23" ht="15" hidden="1">
      <c r="A85" s="7" t="s">
        <v>311</v>
      </c>
      <c r="B85" s="7" t="s">
        <v>312</v>
      </c>
      <c r="C85" s="38" t="str">
        <f>IF(ISNA(VLOOKUP(B85,Table5Data!$A:$N,2,FALSE)),"-",VLOOKUP(B85,Table5Data!$A:$N,2,FALSE))</f>
        <v>-</v>
      </c>
      <c r="D85" s="38" t="str">
        <f t="shared" si="75"/>
        <v>increase</v>
      </c>
      <c r="E85" s="38" t="str">
        <f t="shared" si="76"/>
        <v>-</v>
      </c>
      <c r="F85" s="38" t="str">
        <f t="shared" si="77"/>
        <v>SE Shrimp Otter Trawl</v>
      </c>
      <c r="G85" s="43" t="str">
        <f>IF(ISNA(VLOOKUP(B85,Table5Data!$A:$N,2,FALSE)),"-",VLOOKUP(B85,Table5Data!$A:$N,3,FALSE))</f>
        <v>-</v>
      </c>
      <c r="H85" s="38" t="str">
        <f t="shared" si="78"/>
        <v>increase</v>
      </c>
      <c r="I85" s="38" t="str">
        <f t="shared" si="79"/>
        <v>-</v>
      </c>
      <c r="J85" s="38" t="str">
        <f t="shared" si="86"/>
        <v>SE Shrimp Otter Trawl</v>
      </c>
      <c r="K85" s="43" t="str">
        <f>IF(ISNA(VLOOKUP(B85,Table5Data!$A:$N,2,FALSE)),"-",VLOOKUP(B85,Table5Data!$A:$N,4,FALSE))</f>
        <v>-</v>
      </c>
      <c r="L85" s="38" t="str">
        <f t="shared" si="80"/>
        <v>increase</v>
      </c>
      <c r="M85" s="38" t="str">
        <f t="shared" si="81"/>
        <v>-</v>
      </c>
      <c r="N85" s="38" t="str">
        <f t="shared" si="87"/>
        <v>SE Shrimp Otter Trawl</v>
      </c>
      <c r="O85" s="43" t="str">
        <f>IF(ISNA(VLOOKUP(B85,Table5Data!$A:$N,2,FALSE)),"-",VLOOKUP(B85,Table5Data!$A:$N,5,FALSE))</f>
        <v>-</v>
      </c>
      <c r="P85" s="38" t="str">
        <f t="shared" si="82"/>
        <v>increase</v>
      </c>
      <c r="Q85" s="38" t="str">
        <f t="shared" si="83"/>
        <v>-</v>
      </c>
      <c r="R85" s="38" t="str">
        <f t="shared" si="88"/>
        <v>SE Shrimp Otter Trawl</v>
      </c>
      <c r="S85" s="43" t="str">
        <f>IF(ISNA(VLOOKUP(B85,Table5Data!$A:$N,2,FALSE)),"-",VLOOKUP(B85,Table5Data!$A:$N,6,FALSE))</f>
        <v>-</v>
      </c>
      <c r="T85" s="38" t="str">
        <f t="shared" si="84"/>
        <v>increase</v>
      </c>
      <c r="U85" s="38" t="str">
        <f t="shared" si="85"/>
        <v>-</v>
      </c>
      <c r="V85" s="38" t="str">
        <f t="shared" si="89"/>
        <v>SE Shrimp Otter Trawl</v>
      </c>
      <c r="W85" s="43" t="str">
        <f>IF(ISNA(VLOOKUP(B85,Table5Data!$A:$N,2,FALSE)),"-",VLOOKUP(B85,Table5Data!$A:$N,7,FALSE))</f>
        <v>-</v>
      </c>
    </row>
    <row r="86" spans="1:23" ht="15">
      <c r="A86" s="7" t="s">
        <v>313</v>
      </c>
      <c r="B86" s="7" t="s">
        <v>314</v>
      </c>
      <c r="C86" s="38">
        <f>IF(ISNA(VLOOKUP(B86,Table5Data!$A:$N,2,FALSE)),"-",VLOOKUP(B86,Table5Data!$A:$N,2,FALSE))</f>
        <v>-2</v>
      </c>
      <c r="D86" s="38" t="str">
        <f t="shared" si="75"/>
        <v>decrease</v>
      </c>
      <c r="E86" s="38">
        <f t="shared" si="76"/>
        <v>-2</v>
      </c>
      <c r="F86" s="38" t="str">
        <f t="shared" si="77"/>
        <v>SE Shrimp Beam Trawl</v>
      </c>
      <c r="G86" s="43">
        <f>IF(ISNA(VLOOKUP(B86,Table5Data!$A:$N,2,FALSE)),"-",VLOOKUP(B86,Table5Data!$A:$N,3,FALSE))</f>
        <v>0</v>
      </c>
      <c r="H86" s="38" t="str">
        <f t="shared" si="78"/>
        <v>constant</v>
      </c>
      <c r="I86" s="38">
        <f t="shared" si="79"/>
        <v>0</v>
      </c>
      <c r="J86" s="38" t="str">
        <f t="shared" si="86"/>
        <v>SE Shrimp Beam Trawl</v>
      </c>
      <c r="K86" s="43">
        <f>IF(ISNA(VLOOKUP(B86,Table5Data!$A:$N,2,FALSE)),"-",VLOOKUP(B86,Table5Data!$A:$N,4,FALSE))</f>
        <v>2</v>
      </c>
      <c r="L86" s="38" t="str">
        <f t="shared" si="80"/>
        <v>increase</v>
      </c>
      <c r="M86" s="38">
        <f t="shared" si="81"/>
        <v>2</v>
      </c>
      <c r="N86" s="38" t="str">
        <f t="shared" si="87"/>
        <v>SE Shrimp Beam Trawl</v>
      </c>
      <c r="O86" s="43">
        <f>IF(ISNA(VLOOKUP(B86,Table5Data!$A:$N,2,FALSE)),"-",VLOOKUP(B86,Table5Data!$A:$N,5,FALSE))</f>
        <v>0</v>
      </c>
      <c r="P86" s="38" t="str">
        <f t="shared" si="82"/>
        <v>constant</v>
      </c>
      <c r="Q86" s="38">
        <f t="shared" si="83"/>
        <v>0</v>
      </c>
      <c r="R86" s="38" t="str">
        <f t="shared" si="88"/>
        <v>SE Shrimp Beam Trawl</v>
      </c>
      <c r="S86" s="43">
        <f>IF(ISNA(VLOOKUP(B86,Table5Data!$A:$N,2,FALSE)),"-",VLOOKUP(B86,Table5Data!$A:$N,6,FALSE))</f>
        <v>0</v>
      </c>
      <c r="T86" s="38" t="str">
        <f t="shared" si="84"/>
        <v>constant</v>
      </c>
      <c r="U86" s="38">
        <f t="shared" si="85"/>
        <v>0</v>
      </c>
      <c r="V86" s="38" t="str">
        <f t="shared" si="89"/>
        <v>SE Shrimp Beam Trawl</v>
      </c>
      <c r="W86" s="43">
        <f>IF(ISNA(VLOOKUP(B86,Table5Data!$A:$N,2,FALSE)),"-",VLOOKUP(B86,Table5Data!$A:$N,7,FALSE))</f>
        <v>0</v>
      </c>
    </row>
    <row r="87" spans="1:23" ht="15">
      <c r="A87" s="7" t="s">
        <v>315</v>
      </c>
      <c r="B87" s="7" t="s">
        <v>316</v>
      </c>
      <c r="C87" s="38">
        <f>IF(ISNA(VLOOKUP(B87,Table5Data!$A:$N,2,FALSE)),"-",VLOOKUP(B87,Table5Data!$A:$N,2,FALSE))</f>
        <v>-10</v>
      </c>
      <c r="D87" s="38" t="str">
        <f t="shared" si="75"/>
        <v>decrease</v>
      </c>
      <c r="E87" s="38">
        <f t="shared" si="76"/>
        <v>-10</v>
      </c>
      <c r="F87" s="38" t="str">
        <f t="shared" si="77"/>
        <v>SE Shrimp Pot</v>
      </c>
      <c r="G87" s="43">
        <f>IF(ISNA(VLOOKUP(B87,Table5Data!$A:$N,2,FALSE)),"-",VLOOKUP(B87,Table5Data!$A:$N,3,FALSE))</f>
        <v>1</v>
      </c>
      <c r="H87" s="38" t="str">
        <f t="shared" si="78"/>
        <v>increase</v>
      </c>
      <c r="I87" s="38">
        <f t="shared" si="79"/>
        <v>1</v>
      </c>
      <c r="J87" s="38" t="str">
        <f t="shared" si="86"/>
        <v>SE Shrimp Pot</v>
      </c>
      <c r="K87" s="43">
        <f>IF(ISNA(VLOOKUP(B87,Table5Data!$A:$N,2,FALSE)),"-",VLOOKUP(B87,Table5Data!$A:$N,4,FALSE))</f>
        <v>5</v>
      </c>
      <c r="L87" s="38" t="str">
        <f t="shared" si="80"/>
        <v>increase</v>
      </c>
      <c r="M87" s="38">
        <f t="shared" si="81"/>
        <v>5</v>
      </c>
      <c r="N87" s="38" t="str">
        <f t="shared" si="87"/>
        <v>SE Shrimp Pot</v>
      </c>
      <c r="O87" s="43">
        <f>IF(ISNA(VLOOKUP(B87,Table5Data!$A:$N,2,FALSE)),"-",VLOOKUP(B87,Table5Data!$A:$N,5,FALSE))</f>
        <v>-2</v>
      </c>
      <c r="P87" s="38" t="str">
        <f t="shared" si="82"/>
        <v>decrease</v>
      </c>
      <c r="Q87" s="38">
        <f t="shared" si="83"/>
        <v>-2</v>
      </c>
      <c r="R87" s="38" t="str">
        <f t="shared" si="88"/>
        <v>SE Shrimp Pot</v>
      </c>
      <c r="S87" s="43">
        <f>IF(ISNA(VLOOKUP(B87,Table5Data!$A:$N,2,FALSE)),"-",VLOOKUP(B87,Table5Data!$A:$N,6,FALSE))</f>
        <v>5</v>
      </c>
      <c r="T87" s="38" t="str">
        <f t="shared" si="84"/>
        <v>increase</v>
      </c>
      <c r="U87" s="38">
        <f t="shared" si="85"/>
        <v>5</v>
      </c>
      <c r="V87" s="38" t="str">
        <f t="shared" si="89"/>
        <v>SE Shrimp Pot</v>
      </c>
      <c r="W87" s="43">
        <f>IF(ISNA(VLOOKUP(B87,Table5Data!$A:$N,2,FALSE)),"-",VLOOKUP(B87,Table5Data!$A:$N,7,FALSE))</f>
        <v>1</v>
      </c>
    </row>
    <row r="88" spans="1:23" ht="15">
      <c r="A88" s="7" t="s">
        <v>317</v>
      </c>
      <c r="B88" s="7" t="s">
        <v>318</v>
      </c>
      <c r="C88" s="38" t="str">
        <f>IF(ISNA(VLOOKUP(B88,Table5Data!$A:$N,2,FALSE)),"-",VLOOKUP(B88,Table5Data!$A:$N,2,FALSE))</f>
        <v>-</v>
      </c>
      <c r="D88" s="38" t="str">
        <f t="shared" si="75"/>
        <v>increase</v>
      </c>
      <c r="E88" s="38" t="str">
        <f t="shared" si="76"/>
        <v>-</v>
      </c>
      <c r="F88" s="38" t="str">
        <f t="shared" si="77"/>
        <v>PWS Sablefish Net Gear</v>
      </c>
      <c r="G88" s="43" t="str">
        <f>IF(ISNA(VLOOKUP(B88,Table5Data!$A:$N,2,FALSE)),"-",VLOOKUP(B88,Table5Data!$A:$N,3,FALSE))</f>
        <v>-</v>
      </c>
      <c r="H88" s="38" t="str">
        <f t="shared" si="78"/>
        <v>increase</v>
      </c>
      <c r="I88" s="38" t="str">
        <f t="shared" si="79"/>
        <v>-</v>
      </c>
      <c r="J88" s="38" t="str">
        <f t="shared" si="86"/>
        <v>PWS Sablefish Net Gear</v>
      </c>
      <c r="K88" s="43" t="str">
        <f>IF(ISNA(VLOOKUP(B88,Table5Data!$A:$N,2,FALSE)),"-",VLOOKUP(B88,Table5Data!$A:$N,4,FALSE))</f>
        <v>-</v>
      </c>
      <c r="L88" s="38" t="str">
        <f t="shared" si="80"/>
        <v>increase</v>
      </c>
      <c r="M88" s="38" t="str">
        <f t="shared" si="81"/>
        <v>-</v>
      </c>
      <c r="N88" s="38" t="str">
        <f t="shared" si="87"/>
        <v>PWS Sablefish Net Gear</v>
      </c>
      <c r="O88" s="43" t="str">
        <f>IF(ISNA(VLOOKUP(B88,Table5Data!$A:$N,2,FALSE)),"-",VLOOKUP(B88,Table5Data!$A:$N,5,FALSE))</f>
        <v>-</v>
      </c>
      <c r="P88" s="38" t="str">
        <f t="shared" si="82"/>
        <v>increase</v>
      </c>
      <c r="Q88" s="38" t="str">
        <f t="shared" si="83"/>
        <v>-</v>
      </c>
      <c r="R88" s="38" t="str">
        <f t="shared" si="88"/>
        <v>PWS Sablefish Net Gear</v>
      </c>
      <c r="S88" s="43" t="str">
        <f>IF(ISNA(VLOOKUP(B88,Table5Data!$A:$N,2,FALSE)),"-",VLOOKUP(B88,Table5Data!$A:$N,6,FALSE))</f>
        <v>-</v>
      </c>
      <c r="T88" s="38" t="str">
        <f t="shared" si="84"/>
        <v>increase</v>
      </c>
      <c r="U88" s="38" t="str">
        <f t="shared" si="85"/>
        <v>-</v>
      </c>
      <c r="V88" s="38" t="str">
        <f t="shared" si="89"/>
        <v>PWS Sablefish Net Gear</v>
      </c>
      <c r="W88" s="43" t="str">
        <f>IF(ISNA(VLOOKUP(B88,Table5Data!$A:$N,2,FALSE)),"-",VLOOKUP(B88,Table5Data!$A:$N,7,FALSE))</f>
        <v>-</v>
      </c>
    </row>
    <row r="89" spans="1:23" ht="15">
      <c r="A89" s="7" t="s">
        <v>319</v>
      </c>
      <c r="B89" s="7" t="s">
        <v>320</v>
      </c>
      <c r="C89" s="38">
        <f>IF(ISNA(VLOOKUP(B89,Table5Data!$A:$N,2,FALSE)),"-",VLOOKUP(B89,Table5Data!$A:$N,2,FALSE))</f>
        <v>0</v>
      </c>
      <c r="D89" s="38" t="str">
        <f t="shared" si="75"/>
        <v>constant</v>
      </c>
      <c r="E89" s="38">
        <f t="shared" si="76"/>
        <v>0</v>
      </c>
      <c r="F89" s="38" t="str">
        <f t="shared" si="77"/>
        <v>PWS Sablefish Fixed 90ft</v>
      </c>
      <c r="G89" s="43">
        <f>IF(ISNA(VLOOKUP(B89,Table5Data!$A:$N,2,FALSE)),"-",VLOOKUP(B89,Table5Data!$A:$N,3,FALSE))</f>
        <v>0</v>
      </c>
      <c r="H89" s="38" t="str">
        <f t="shared" si="78"/>
        <v>constant</v>
      </c>
      <c r="I89" s="38">
        <f t="shared" si="79"/>
        <v>0</v>
      </c>
      <c r="J89" s="38" t="str">
        <f t="shared" si="86"/>
        <v>PWS Sablefish Fixed 90ft</v>
      </c>
      <c r="K89" s="43">
        <f>IF(ISNA(VLOOKUP(B89,Table5Data!$A:$N,2,FALSE)),"-",VLOOKUP(B89,Table5Data!$A:$N,4,FALSE))</f>
        <v>0</v>
      </c>
      <c r="L89" s="38" t="str">
        <f t="shared" si="80"/>
        <v>constant</v>
      </c>
      <c r="M89" s="38">
        <f t="shared" si="81"/>
        <v>0</v>
      </c>
      <c r="N89" s="38" t="str">
        <f t="shared" si="87"/>
        <v>PWS Sablefish Fixed 90ft</v>
      </c>
      <c r="O89" s="43">
        <f>IF(ISNA(VLOOKUP(B89,Table5Data!$A:$N,2,FALSE)),"-",VLOOKUP(B89,Table5Data!$A:$N,5,FALSE))</f>
        <v>0</v>
      </c>
      <c r="P89" s="38" t="str">
        <f t="shared" si="82"/>
        <v>constant</v>
      </c>
      <c r="Q89" s="38">
        <f t="shared" si="83"/>
        <v>0</v>
      </c>
      <c r="R89" s="38" t="str">
        <f t="shared" si="88"/>
        <v>PWS Sablefish Fixed 90ft</v>
      </c>
      <c r="S89" s="43">
        <f>IF(ISNA(VLOOKUP(B89,Table5Data!$A:$N,2,FALSE)),"-",VLOOKUP(B89,Table5Data!$A:$N,6,FALSE))</f>
        <v>0</v>
      </c>
      <c r="T89" s="38" t="str">
        <f t="shared" si="84"/>
        <v>constant</v>
      </c>
      <c r="U89" s="38">
        <f t="shared" si="85"/>
        <v>0</v>
      </c>
      <c r="V89" s="38" t="str">
        <f t="shared" si="89"/>
        <v>PWS Sablefish Fixed 90ft</v>
      </c>
      <c r="W89" s="43">
        <f>IF(ISNA(VLOOKUP(B89,Table5Data!$A:$N,2,FALSE)),"-",VLOOKUP(B89,Table5Data!$A:$N,7,FALSE))</f>
        <v>0</v>
      </c>
    </row>
    <row r="90" spans="1:23" ht="15">
      <c r="A90" s="7" t="s">
        <v>321</v>
      </c>
      <c r="B90" s="7" t="s">
        <v>322</v>
      </c>
      <c r="C90" s="38">
        <f>IF(ISNA(VLOOKUP(B90,Table5Data!$A:$N,2,FALSE)),"-",VLOOKUP(B90,Table5Data!$A:$N,2,FALSE))</f>
        <v>0</v>
      </c>
      <c r="D90" s="38" t="str">
        <f t="shared" si="75"/>
        <v>constant</v>
      </c>
      <c r="E90" s="38">
        <f t="shared" si="76"/>
        <v>0</v>
      </c>
      <c r="F90" s="38" t="str">
        <f t="shared" si="77"/>
        <v>PWS Sablefish Fixed 60ft</v>
      </c>
      <c r="G90" s="43">
        <f>IF(ISNA(VLOOKUP(B90,Table5Data!$A:$N,2,FALSE)),"-",VLOOKUP(B90,Table5Data!$A:$N,3,FALSE))</f>
        <v>2</v>
      </c>
      <c r="H90" s="38" t="str">
        <f t="shared" si="78"/>
        <v>increase</v>
      </c>
      <c r="I90" s="38">
        <f t="shared" si="79"/>
        <v>2</v>
      </c>
      <c r="J90" s="38" t="str">
        <f t="shared" si="86"/>
        <v>PWS Sablefish Fixed 60ft</v>
      </c>
      <c r="K90" s="43">
        <f>IF(ISNA(VLOOKUP(B90,Table5Data!$A:$N,2,FALSE)),"-",VLOOKUP(B90,Table5Data!$A:$N,4,FALSE))</f>
        <v>0</v>
      </c>
      <c r="L90" s="38" t="str">
        <f t="shared" si="80"/>
        <v>constant</v>
      </c>
      <c r="M90" s="38">
        <f t="shared" si="81"/>
        <v>0</v>
      </c>
      <c r="N90" s="38" t="str">
        <f t="shared" si="87"/>
        <v>PWS Sablefish Fixed 60ft</v>
      </c>
      <c r="O90" s="43">
        <f>IF(ISNA(VLOOKUP(B90,Table5Data!$A:$N,2,FALSE)),"-",VLOOKUP(B90,Table5Data!$A:$N,5,FALSE))</f>
        <v>-2</v>
      </c>
      <c r="P90" s="38" t="str">
        <f t="shared" si="82"/>
        <v>decrease</v>
      </c>
      <c r="Q90" s="38">
        <f t="shared" si="83"/>
        <v>-2</v>
      </c>
      <c r="R90" s="38" t="str">
        <f t="shared" si="88"/>
        <v>PWS Sablefish Fixed 60ft</v>
      </c>
      <c r="S90" s="43">
        <f>IF(ISNA(VLOOKUP(B90,Table5Data!$A:$N,2,FALSE)),"-",VLOOKUP(B90,Table5Data!$A:$N,6,FALSE))</f>
        <v>0</v>
      </c>
      <c r="T90" s="38" t="str">
        <f t="shared" si="84"/>
        <v>constant</v>
      </c>
      <c r="U90" s="38">
        <f t="shared" si="85"/>
        <v>0</v>
      </c>
      <c r="V90" s="38" t="str">
        <f t="shared" si="89"/>
        <v>PWS Sablefish Fixed 60ft</v>
      </c>
      <c r="W90" s="43">
        <f>IF(ISNA(VLOOKUP(B90,Table5Data!$A:$N,2,FALSE)),"-",VLOOKUP(B90,Table5Data!$A:$N,7,FALSE))</f>
        <v>0</v>
      </c>
    </row>
    <row r="91" spans="1:23" ht="15">
      <c r="A91" s="7" t="s">
        <v>323</v>
      </c>
      <c r="B91" s="7" t="s">
        <v>324</v>
      </c>
      <c r="C91" s="38">
        <f>IF(ISNA(VLOOKUP(B91,Table5Data!$A:$N,2,FALSE)),"-",VLOOKUP(B91,Table5Data!$A:$N,2,FALSE))</f>
        <v>2</v>
      </c>
      <c r="D91" s="38" t="str">
        <f t="shared" si="75"/>
        <v>increase</v>
      </c>
      <c r="E91" s="38">
        <f t="shared" si="76"/>
        <v>2</v>
      </c>
      <c r="F91" s="38" t="str">
        <f t="shared" si="77"/>
        <v>PWS Sablefish Fixed 50ft</v>
      </c>
      <c r="G91" s="43">
        <f>IF(ISNA(VLOOKUP(B91,Table5Data!$A:$N,2,FALSE)),"-",VLOOKUP(B91,Table5Data!$A:$N,3,FALSE))</f>
        <v>-1</v>
      </c>
      <c r="H91" s="38" t="str">
        <f t="shared" si="78"/>
        <v>decrease</v>
      </c>
      <c r="I91" s="38">
        <f t="shared" si="79"/>
        <v>-1</v>
      </c>
      <c r="J91" s="38" t="str">
        <f t="shared" si="86"/>
        <v>PWS Sablefish Fixed 50ft</v>
      </c>
      <c r="K91" s="43">
        <f>IF(ISNA(VLOOKUP(B91,Table5Data!$A:$N,2,FALSE)),"-",VLOOKUP(B91,Table5Data!$A:$N,4,FALSE))</f>
        <v>0</v>
      </c>
      <c r="L91" s="38" t="str">
        <f t="shared" si="80"/>
        <v>constant</v>
      </c>
      <c r="M91" s="38">
        <f t="shared" si="81"/>
        <v>0</v>
      </c>
      <c r="N91" s="38" t="str">
        <f t="shared" si="87"/>
        <v>PWS Sablefish Fixed 50ft</v>
      </c>
      <c r="O91" s="43">
        <f>IF(ISNA(VLOOKUP(B91,Table5Data!$A:$N,2,FALSE)),"-",VLOOKUP(B91,Table5Data!$A:$N,5,FALSE))</f>
        <v>2</v>
      </c>
      <c r="P91" s="38" t="str">
        <f t="shared" si="82"/>
        <v>increase</v>
      </c>
      <c r="Q91" s="38">
        <f t="shared" si="83"/>
        <v>2</v>
      </c>
      <c r="R91" s="38" t="str">
        <f t="shared" si="88"/>
        <v>PWS Sablefish Fixed 50ft</v>
      </c>
      <c r="S91" s="43">
        <f>IF(ISNA(VLOOKUP(B91,Table5Data!$A:$N,2,FALSE)),"-",VLOOKUP(B91,Table5Data!$A:$N,6,FALSE))</f>
        <v>-3</v>
      </c>
      <c r="T91" s="38" t="str">
        <f t="shared" si="84"/>
        <v>decrease</v>
      </c>
      <c r="U91" s="38">
        <f t="shared" si="85"/>
        <v>-3</v>
      </c>
      <c r="V91" s="38" t="str">
        <f t="shared" si="89"/>
        <v>PWS Sablefish Fixed 50ft</v>
      </c>
      <c r="W91" s="43">
        <f>IF(ISNA(VLOOKUP(B91,Table5Data!$A:$N,2,FALSE)),"-",VLOOKUP(B91,Table5Data!$A:$N,7,FALSE))</f>
        <v>0</v>
      </c>
    </row>
    <row r="92" spans="1:23" ht="15">
      <c r="A92" s="7" t="s">
        <v>325</v>
      </c>
      <c r="B92" s="7" t="s">
        <v>326</v>
      </c>
      <c r="C92" s="72">
        <f>IF(ISNA(VLOOKUP(B92,Table5Data!$A:$N,2,FALSE)),"-",VLOOKUP(B92,Table5Data!$A:$N,2,FALSE))</f>
        <v>3</v>
      </c>
      <c r="D92" s="72" t="str">
        <f t="shared" si="75"/>
        <v>increase</v>
      </c>
      <c r="E92" s="72">
        <f t="shared" si="76"/>
        <v>3</v>
      </c>
      <c r="F92" s="72" t="str">
        <f t="shared" si="77"/>
        <v>PWS Sablefish Fixed 35ft</v>
      </c>
      <c r="G92" s="124">
        <f>IF(ISNA(VLOOKUP(B92,Table5Data!$A:$N,2,FALSE)),"-",VLOOKUP(B92,Table5Data!$A:$N,3,FALSE))</f>
        <v>0</v>
      </c>
      <c r="H92" s="72" t="str">
        <f t="shared" si="78"/>
        <v>constant</v>
      </c>
      <c r="I92" s="72">
        <f t="shared" si="79"/>
        <v>0</v>
      </c>
      <c r="J92" s="72" t="str">
        <f t="shared" si="86"/>
        <v>PWS Sablefish Fixed 35ft</v>
      </c>
      <c r="K92" s="124">
        <f>IF(ISNA(VLOOKUP(B92,Table5Data!$A:$N,2,FALSE)),"-",VLOOKUP(B92,Table5Data!$A:$N,4,FALSE))</f>
        <v>0</v>
      </c>
      <c r="L92" s="72" t="str">
        <f t="shared" si="80"/>
        <v>constant</v>
      </c>
      <c r="M92" s="72">
        <f t="shared" si="81"/>
        <v>0</v>
      </c>
      <c r="N92" s="72" t="str">
        <f t="shared" si="87"/>
        <v>PWS Sablefish Fixed 35ft</v>
      </c>
      <c r="O92" s="124">
        <f>IF(ISNA(VLOOKUP(B92,Table5Data!$A:$N,2,FALSE)),"-",VLOOKUP(B92,Table5Data!$A:$N,5,FALSE))</f>
        <v>-1</v>
      </c>
      <c r="P92" s="72" t="str">
        <f t="shared" si="82"/>
        <v>decrease</v>
      </c>
      <c r="Q92" s="72">
        <f t="shared" si="83"/>
        <v>-1</v>
      </c>
      <c r="R92" s="72" t="str">
        <f t="shared" si="88"/>
        <v>PWS Sablefish Fixed 35ft</v>
      </c>
      <c r="S92" s="124">
        <f>IF(ISNA(VLOOKUP(B92,Table5Data!$A:$N,2,FALSE)),"-",VLOOKUP(B92,Table5Data!$A:$N,6,FALSE))</f>
        <v>-2</v>
      </c>
      <c r="T92" s="72" t="str">
        <f t="shared" si="84"/>
        <v>decrease</v>
      </c>
      <c r="U92" s="72">
        <f t="shared" si="85"/>
        <v>-2</v>
      </c>
      <c r="V92" s="72" t="str">
        <f t="shared" si="89"/>
        <v>PWS Sablefish Fixed 35ft</v>
      </c>
      <c r="W92" s="124">
        <f>IF(ISNA(VLOOKUP(B92,Table5Data!$A:$N,2,FALSE)),"-",VLOOKUP(B92,Table5Data!$A:$N,7,FALSE))</f>
        <v>0</v>
      </c>
    </row>
    <row r="93" spans="1:23" ht="15">
      <c r="A93" s="7"/>
      <c r="B93" s="7"/>
      <c r="C93" s="44">
        <f>SUM(C83:C92)</f>
        <v>-30</v>
      </c>
      <c r="D93" s="44"/>
      <c r="E93" s="44"/>
      <c r="F93" s="44"/>
      <c r="G93" s="44">
        <f>SUM(G83:G92)</f>
        <v>2</v>
      </c>
      <c r="H93" s="44"/>
      <c r="I93" s="44"/>
      <c r="J93" s="44"/>
      <c r="K93" s="44">
        <f>SUM(K83:K92)</f>
        <v>42</v>
      </c>
      <c r="L93" s="44"/>
      <c r="M93" s="44"/>
      <c r="N93" s="44"/>
      <c r="O93" s="44">
        <f>SUM(O83:O92)</f>
        <v>-7</v>
      </c>
      <c r="P93" s="44"/>
      <c r="Q93" s="44"/>
      <c r="R93" s="44"/>
      <c r="S93" s="44">
        <f>SUM(S83:S92)</f>
        <v>-8</v>
      </c>
      <c r="T93" s="44"/>
      <c r="U93" s="44"/>
      <c r="V93" s="44"/>
      <c r="W93" s="44">
        <f>SUM(W83:W92)</f>
        <v>1</v>
      </c>
    </row>
    <row r="94" spans="1:23" ht="15">
      <c r="A94" s="8"/>
      <c r="B94" s="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">
      <c r="A95" s="9" t="s">
        <v>327</v>
      </c>
      <c r="B95" s="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5">
      <c r="A96" s="7" t="s">
        <v>328</v>
      </c>
      <c r="B96" s="10" t="s">
        <v>329</v>
      </c>
      <c r="C96" s="38">
        <f>IF(ISNA(VLOOKUP(B96,Table5Data!$A:$N,2,FALSE)),"-",VLOOKUP(B96,Table5Data!$A:$N,2,FALSE))</f>
        <v>-2</v>
      </c>
      <c r="D96" s="38" t="str">
        <f aca="true" t="shared" si="90" ref="D96:D103">IF(C96&lt;0,"decrease",IF(C96=0,"constant","increase"))</f>
        <v>decrease</v>
      </c>
      <c r="E96" s="38">
        <f aca="true" t="shared" si="91" ref="E96:E103">C96</f>
        <v>-2</v>
      </c>
      <c r="F96" s="38" t="str">
        <f aca="true" t="shared" si="92" ref="F96:F103">A96</f>
        <v>SE Urchin Dive</v>
      </c>
      <c r="G96" s="43">
        <f>IF(ISNA(VLOOKUP(B96,Table5Data!$A:$N,2,FALSE)),"-",VLOOKUP(B96,Table5Data!$A:$N,3,FALSE))</f>
        <v>0</v>
      </c>
      <c r="H96" s="38" t="str">
        <f aca="true" t="shared" si="93" ref="H96:H103">IF(G96&lt;0,"decrease",IF(G96=0,"constant","increase"))</f>
        <v>constant</v>
      </c>
      <c r="I96" s="38">
        <f aca="true" t="shared" si="94" ref="I96:I103">G96</f>
        <v>0</v>
      </c>
      <c r="J96" s="38" t="str">
        <f>F96</f>
        <v>SE Urchin Dive</v>
      </c>
      <c r="K96" s="43">
        <f>IF(ISNA(VLOOKUP(B96,Table5Data!$A:$N,2,FALSE)),"-",VLOOKUP(B96,Table5Data!$A:$N,4,FALSE))</f>
        <v>1</v>
      </c>
      <c r="L96" s="38" t="str">
        <f aca="true" t="shared" si="95" ref="L96:L103">IF(K96&lt;0,"decrease",IF(K96=0,"constant","increase"))</f>
        <v>increase</v>
      </c>
      <c r="M96" s="38">
        <f aca="true" t="shared" si="96" ref="M96:M103">K96</f>
        <v>1</v>
      </c>
      <c r="N96" s="38" t="str">
        <f>J96</f>
        <v>SE Urchin Dive</v>
      </c>
      <c r="O96" s="43">
        <f>IF(ISNA(VLOOKUP(B96,Table5Data!$A:$N,2,FALSE)),"-",VLOOKUP(B96,Table5Data!$A:$N,5,FALSE))</f>
        <v>-2</v>
      </c>
      <c r="P96" s="38" t="str">
        <f aca="true" t="shared" si="97" ref="P96:P103">IF(O96&lt;0,"decrease",IF(O96=0,"constant","increase"))</f>
        <v>decrease</v>
      </c>
      <c r="Q96" s="38">
        <f aca="true" t="shared" si="98" ref="Q96:Q103">O96</f>
        <v>-2</v>
      </c>
      <c r="R96" s="38" t="str">
        <f>N96</f>
        <v>SE Urchin Dive</v>
      </c>
      <c r="S96" s="43">
        <f>IF(ISNA(VLOOKUP(B96,Table5Data!$A:$N,2,FALSE)),"-",VLOOKUP(B96,Table5Data!$A:$N,6,FALSE))</f>
        <v>3</v>
      </c>
      <c r="T96" s="38" t="str">
        <f aca="true" t="shared" si="99" ref="T96:T103">IF(S96&lt;0,"decrease",IF(S96=0,"constant","increase"))</f>
        <v>increase</v>
      </c>
      <c r="U96" s="38">
        <f aca="true" t="shared" si="100" ref="U96:U103">S96</f>
        <v>3</v>
      </c>
      <c r="V96" s="38" t="str">
        <f>R96</f>
        <v>SE Urchin Dive</v>
      </c>
      <c r="W96" s="43">
        <f>IF(ISNA(VLOOKUP(B96,Table5Data!$A:$N,2,FALSE)),"-",VLOOKUP(B96,Table5Data!$A:$N,7,FALSE))</f>
        <v>0</v>
      </c>
    </row>
    <row r="97" spans="1:23" ht="15">
      <c r="A97" s="7" t="s">
        <v>330</v>
      </c>
      <c r="B97" s="10" t="s">
        <v>331</v>
      </c>
      <c r="C97" s="38">
        <f>IF(ISNA(VLOOKUP(B97,Table5Data!$A:$N,2,FALSE)),"-",VLOOKUP(B97,Table5Data!$A:$N,2,FALSE))</f>
        <v>1</v>
      </c>
      <c r="D97" s="38" t="str">
        <f t="shared" si="90"/>
        <v>increase</v>
      </c>
      <c r="E97" s="38">
        <f t="shared" si="91"/>
        <v>1</v>
      </c>
      <c r="F97" s="38" t="str">
        <f t="shared" si="92"/>
        <v>SE Geoduck Dive</v>
      </c>
      <c r="G97" s="43">
        <f>IF(ISNA(VLOOKUP(B97,Table5Data!$A:$N,2,FALSE)),"-",VLOOKUP(B97,Table5Data!$A:$N,3,FALSE))</f>
        <v>1</v>
      </c>
      <c r="H97" s="38" t="str">
        <f t="shared" si="93"/>
        <v>increase</v>
      </c>
      <c r="I97" s="38">
        <f t="shared" si="94"/>
        <v>1</v>
      </c>
      <c r="J97" s="38" t="str">
        <f aca="true" t="shared" si="101" ref="J97:J103">F97</f>
        <v>SE Geoduck Dive</v>
      </c>
      <c r="K97" s="43">
        <f>IF(ISNA(VLOOKUP(B97,Table5Data!$A:$N,2,FALSE)),"-",VLOOKUP(B97,Table5Data!$A:$N,4,FALSE))</f>
        <v>7</v>
      </c>
      <c r="L97" s="38" t="str">
        <f t="shared" si="95"/>
        <v>increase</v>
      </c>
      <c r="M97" s="38">
        <f t="shared" si="96"/>
        <v>7</v>
      </c>
      <c r="N97" s="38" t="str">
        <f aca="true" t="shared" si="102" ref="N97:N103">J97</f>
        <v>SE Geoduck Dive</v>
      </c>
      <c r="O97" s="43">
        <f>IF(ISNA(VLOOKUP(B97,Table5Data!$A:$N,2,FALSE)),"-",VLOOKUP(B97,Table5Data!$A:$N,5,FALSE))</f>
        <v>1</v>
      </c>
      <c r="P97" s="38" t="str">
        <f t="shared" si="97"/>
        <v>increase</v>
      </c>
      <c r="Q97" s="38">
        <f t="shared" si="98"/>
        <v>1</v>
      </c>
      <c r="R97" s="38" t="str">
        <f aca="true" t="shared" si="103" ref="R97:R103">N97</f>
        <v>SE Geoduck Dive</v>
      </c>
      <c r="S97" s="43">
        <f>IF(ISNA(VLOOKUP(B97,Table5Data!$A:$N,2,FALSE)),"-",VLOOKUP(B97,Table5Data!$A:$N,6,FALSE))</f>
        <v>-10</v>
      </c>
      <c r="T97" s="38" t="str">
        <f t="shared" si="99"/>
        <v>decrease</v>
      </c>
      <c r="U97" s="38">
        <f t="shared" si="100"/>
        <v>-10</v>
      </c>
      <c r="V97" s="38" t="str">
        <f aca="true" t="shared" si="104" ref="V97:V103">R97</f>
        <v>SE Geoduck Dive</v>
      </c>
      <c r="W97" s="43">
        <f>IF(ISNA(VLOOKUP(B97,Table5Data!$A:$N,2,FALSE)),"-",VLOOKUP(B97,Table5Data!$A:$N,7,FALSE))</f>
        <v>0</v>
      </c>
    </row>
    <row r="98" spans="1:23" ht="15">
      <c r="A98" s="7" t="s">
        <v>332</v>
      </c>
      <c r="B98" s="10" t="s">
        <v>333</v>
      </c>
      <c r="C98" s="38">
        <f>IF(ISNA(VLOOKUP(B98,Table5Data!$A:$N,2,FALSE)),"-",VLOOKUP(B98,Table5Data!$A:$N,2,FALSE))</f>
        <v>2</v>
      </c>
      <c r="D98" s="38" t="str">
        <f t="shared" si="90"/>
        <v>increase</v>
      </c>
      <c r="E98" s="38">
        <f t="shared" si="91"/>
        <v>2</v>
      </c>
      <c r="F98" s="38" t="str">
        <f t="shared" si="92"/>
        <v>SE Cucumber Dive</v>
      </c>
      <c r="G98" s="43">
        <f>IF(ISNA(VLOOKUP(B98,Table5Data!$A:$N,2,FALSE)),"-",VLOOKUP(B98,Table5Data!$A:$N,3,FALSE))</f>
        <v>0</v>
      </c>
      <c r="H98" s="38" t="str">
        <f t="shared" si="93"/>
        <v>constant</v>
      </c>
      <c r="I98" s="38">
        <f t="shared" si="94"/>
        <v>0</v>
      </c>
      <c r="J98" s="38" t="str">
        <f t="shared" si="101"/>
        <v>SE Cucumber Dive</v>
      </c>
      <c r="K98" s="43">
        <f>IF(ISNA(VLOOKUP(B98,Table5Data!$A:$N,2,FALSE)),"-",VLOOKUP(B98,Table5Data!$A:$N,4,FALSE))</f>
        <v>9</v>
      </c>
      <c r="L98" s="38" t="str">
        <f t="shared" si="95"/>
        <v>increase</v>
      </c>
      <c r="M98" s="38">
        <f t="shared" si="96"/>
        <v>9</v>
      </c>
      <c r="N98" s="38" t="str">
        <f t="shared" si="102"/>
        <v>SE Cucumber Dive</v>
      </c>
      <c r="O98" s="43">
        <f>IF(ISNA(VLOOKUP(B98,Table5Data!$A:$N,2,FALSE)),"-",VLOOKUP(B98,Table5Data!$A:$N,5,FALSE))</f>
        <v>0</v>
      </c>
      <c r="P98" s="38" t="str">
        <f t="shared" si="97"/>
        <v>constant</v>
      </c>
      <c r="Q98" s="38">
        <f t="shared" si="98"/>
        <v>0</v>
      </c>
      <c r="R98" s="38" t="str">
        <f t="shared" si="103"/>
        <v>SE Cucumber Dive</v>
      </c>
      <c r="S98" s="43">
        <f>IF(ISNA(VLOOKUP(B98,Table5Data!$A:$N,2,FALSE)),"-",VLOOKUP(B98,Table5Data!$A:$N,6,FALSE))</f>
        <v>-11</v>
      </c>
      <c r="T98" s="38" t="str">
        <f t="shared" si="99"/>
        <v>decrease</v>
      </c>
      <c r="U98" s="38">
        <f t="shared" si="100"/>
        <v>-11</v>
      </c>
      <c r="V98" s="38" t="str">
        <f t="shared" si="104"/>
        <v>SE Cucumber Dive</v>
      </c>
      <c r="W98" s="43">
        <f>IF(ISNA(VLOOKUP(B98,Table5Data!$A:$N,2,FALSE)),"-",VLOOKUP(B98,Table5Data!$A:$N,7,FALSE))</f>
        <v>0</v>
      </c>
    </row>
    <row r="99" spans="1:23" ht="15">
      <c r="A99" s="7" t="s">
        <v>334</v>
      </c>
      <c r="B99" s="10" t="s">
        <v>335</v>
      </c>
      <c r="C99" s="38">
        <f>IF(ISNA(VLOOKUP(B99,Table5Data!$A:$N,2,FALSE)),"-",VLOOKUP(B99,Table5Data!$A:$N,2,FALSE))</f>
        <v>0</v>
      </c>
      <c r="D99" s="38" t="str">
        <f t="shared" si="90"/>
        <v>constant</v>
      </c>
      <c r="E99" s="38">
        <f t="shared" si="91"/>
        <v>0</v>
      </c>
      <c r="F99" s="38" t="str">
        <f t="shared" si="92"/>
        <v>Goodnews Bay Her Gillnet</v>
      </c>
      <c r="G99" s="43">
        <f>IF(ISNA(VLOOKUP(B99,Table5Data!$A:$N,2,FALSE)),"-",VLOOKUP(B99,Table5Data!$A:$N,3,FALSE))</f>
        <v>0</v>
      </c>
      <c r="H99" s="38" t="str">
        <f t="shared" si="93"/>
        <v>constant</v>
      </c>
      <c r="I99" s="38">
        <f t="shared" si="94"/>
        <v>0</v>
      </c>
      <c r="J99" s="38" t="str">
        <f t="shared" si="101"/>
        <v>Goodnews Bay Her Gillnet</v>
      </c>
      <c r="K99" s="43">
        <f>IF(ISNA(VLOOKUP(B99,Table5Data!$A:$N,2,FALSE)),"-",VLOOKUP(B99,Table5Data!$A:$N,4,FALSE))</f>
        <v>0</v>
      </c>
      <c r="L99" s="38" t="str">
        <f t="shared" si="95"/>
        <v>constant</v>
      </c>
      <c r="M99" s="38">
        <f t="shared" si="96"/>
        <v>0</v>
      </c>
      <c r="N99" s="38" t="str">
        <f t="shared" si="102"/>
        <v>Goodnews Bay Her Gillnet</v>
      </c>
      <c r="O99" s="43">
        <f>IF(ISNA(VLOOKUP(B99,Table5Data!$A:$N,2,FALSE)),"-",VLOOKUP(B99,Table5Data!$A:$N,5,FALSE))</f>
        <v>-1</v>
      </c>
      <c r="P99" s="38" t="str">
        <f t="shared" si="97"/>
        <v>decrease</v>
      </c>
      <c r="Q99" s="38">
        <f t="shared" si="98"/>
        <v>-1</v>
      </c>
      <c r="R99" s="38" t="str">
        <f t="shared" si="103"/>
        <v>Goodnews Bay Her Gillnet</v>
      </c>
      <c r="S99" s="43">
        <f>IF(ISNA(VLOOKUP(B99,Table5Data!$A:$N,2,FALSE)),"-",VLOOKUP(B99,Table5Data!$A:$N,6,FALSE))</f>
        <v>1</v>
      </c>
      <c r="T99" s="38" t="str">
        <f t="shared" si="99"/>
        <v>increase</v>
      </c>
      <c r="U99" s="38">
        <f t="shared" si="100"/>
        <v>1</v>
      </c>
      <c r="V99" s="38" t="str">
        <f t="shared" si="104"/>
        <v>Goodnews Bay Her Gillnet</v>
      </c>
      <c r="W99" s="43">
        <f>IF(ISNA(VLOOKUP(B99,Table5Data!$A:$N,2,FALSE)),"-",VLOOKUP(B99,Table5Data!$A:$N,7,FALSE))</f>
        <v>0</v>
      </c>
    </row>
    <row r="100" spans="1:23" ht="15">
      <c r="A100" s="7" t="s">
        <v>336</v>
      </c>
      <c r="B100" s="10" t="s">
        <v>337</v>
      </c>
      <c r="C100" s="38">
        <f>IF(ISNA(VLOOKUP(B100,Table5Data!$A:$N,2,FALSE)),"-",VLOOKUP(B100,Table5Data!$A:$N,2,FALSE))</f>
        <v>0</v>
      </c>
      <c r="D100" s="38" t="str">
        <f t="shared" si="90"/>
        <v>constant</v>
      </c>
      <c r="E100" s="38">
        <f t="shared" si="91"/>
        <v>0</v>
      </c>
      <c r="F100" s="38" t="str">
        <f t="shared" si="92"/>
        <v>Kodiak Fd/Bt Her Seine/Gill</v>
      </c>
      <c r="G100" s="43">
        <f>IF(ISNA(VLOOKUP(B100,Table5Data!$A:$N,2,FALSE)),"-",VLOOKUP(B100,Table5Data!$A:$N,3,FALSE))</f>
        <v>0</v>
      </c>
      <c r="H100" s="38" t="str">
        <f t="shared" si="93"/>
        <v>constant</v>
      </c>
      <c r="I100" s="38">
        <f t="shared" si="94"/>
        <v>0</v>
      </c>
      <c r="J100" s="38" t="str">
        <f t="shared" si="101"/>
        <v>Kodiak Fd/Bt Her Seine/Gill</v>
      </c>
      <c r="K100" s="43">
        <f>IF(ISNA(VLOOKUP(B100,Table5Data!$A:$N,2,FALSE)),"-",VLOOKUP(B100,Table5Data!$A:$N,4,FALSE))</f>
        <v>0</v>
      </c>
      <c r="L100" s="38" t="str">
        <f t="shared" si="95"/>
        <v>constant</v>
      </c>
      <c r="M100" s="38">
        <f t="shared" si="96"/>
        <v>0</v>
      </c>
      <c r="N100" s="38" t="str">
        <f t="shared" si="102"/>
        <v>Kodiak Fd/Bt Her Seine/Gill</v>
      </c>
      <c r="O100" s="43">
        <f>IF(ISNA(VLOOKUP(B100,Table5Data!$A:$N,2,FALSE)),"-",VLOOKUP(B100,Table5Data!$A:$N,5,FALSE))</f>
        <v>0</v>
      </c>
      <c r="P100" s="38" t="str">
        <f t="shared" si="97"/>
        <v>constant</v>
      </c>
      <c r="Q100" s="38">
        <f t="shared" si="98"/>
        <v>0</v>
      </c>
      <c r="R100" s="38" t="str">
        <f t="shared" si="103"/>
        <v>Kodiak Fd/Bt Her Seine/Gill</v>
      </c>
      <c r="S100" s="43">
        <f>IF(ISNA(VLOOKUP(B100,Table5Data!$A:$N,2,FALSE)),"-",VLOOKUP(B100,Table5Data!$A:$N,6,FALSE))</f>
        <v>0</v>
      </c>
      <c r="T100" s="38" t="str">
        <f t="shared" si="99"/>
        <v>constant</v>
      </c>
      <c r="U100" s="38">
        <f t="shared" si="100"/>
        <v>0</v>
      </c>
      <c r="V100" s="38" t="str">
        <f t="shared" si="104"/>
        <v>Kodiak Fd/Bt Her Seine/Gill</v>
      </c>
      <c r="W100" s="43">
        <f>IF(ISNA(VLOOKUP(B100,Table5Data!$A:$N,2,FALSE)),"-",VLOOKUP(B100,Table5Data!$A:$N,7,FALSE))</f>
        <v>0</v>
      </c>
    </row>
    <row r="101" spans="1:23" ht="15">
      <c r="A101" s="7" t="s">
        <v>338</v>
      </c>
      <c r="B101" s="10" t="s">
        <v>339</v>
      </c>
      <c r="C101" s="38" t="str">
        <f>IF(ISNA(VLOOKUP(B101,Table5Data!$A:$N,2,FALSE)),"-",VLOOKUP(B101,Table5Data!$A:$N,2,FALSE))</f>
        <v>-</v>
      </c>
      <c r="D101" s="38" t="str">
        <f t="shared" si="90"/>
        <v>increase</v>
      </c>
      <c r="E101" s="38" t="str">
        <f t="shared" si="91"/>
        <v>-</v>
      </c>
      <c r="F101" s="38" t="str">
        <f t="shared" si="92"/>
        <v>Kodiak Fd/Bt Her Trawl 75ft</v>
      </c>
      <c r="G101" s="43" t="str">
        <f>IF(ISNA(VLOOKUP(B101,Table5Data!$A:$N,2,FALSE)),"-",VLOOKUP(B101,Table5Data!$A:$N,3,FALSE))</f>
        <v>-</v>
      </c>
      <c r="H101" s="38" t="str">
        <f t="shared" si="93"/>
        <v>increase</v>
      </c>
      <c r="I101" s="38" t="str">
        <f t="shared" si="94"/>
        <v>-</v>
      </c>
      <c r="J101" s="38" t="str">
        <f t="shared" si="101"/>
        <v>Kodiak Fd/Bt Her Trawl 75ft</v>
      </c>
      <c r="K101" s="43" t="str">
        <f>IF(ISNA(VLOOKUP(B101,Table5Data!$A:$N,2,FALSE)),"-",VLOOKUP(B101,Table5Data!$A:$N,4,FALSE))</f>
        <v>-</v>
      </c>
      <c r="L101" s="38" t="str">
        <f t="shared" si="95"/>
        <v>increase</v>
      </c>
      <c r="M101" s="38" t="str">
        <f t="shared" si="96"/>
        <v>-</v>
      </c>
      <c r="N101" s="38" t="str">
        <f t="shared" si="102"/>
        <v>Kodiak Fd/Bt Her Trawl 75ft</v>
      </c>
      <c r="O101" s="43" t="str">
        <f>IF(ISNA(VLOOKUP(B101,Table5Data!$A:$N,2,FALSE)),"-",VLOOKUP(B101,Table5Data!$A:$N,5,FALSE))</f>
        <v>-</v>
      </c>
      <c r="P101" s="38" t="str">
        <f t="shared" si="97"/>
        <v>increase</v>
      </c>
      <c r="Q101" s="38" t="str">
        <f t="shared" si="98"/>
        <v>-</v>
      </c>
      <c r="R101" s="38" t="str">
        <f t="shared" si="103"/>
        <v>Kodiak Fd/Bt Her Trawl 75ft</v>
      </c>
      <c r="S101" s="43" t="str">
        <f>IF(ISNA(VLOOKUP(B101,Table5Data!$A:$N,2,FALSE)),"-",VLOOKUP(B101,Table5Data!$A:$N,6,FALSE))</f>
        <v>-</v>
      </c>
      <c r="T101" s="38" t="str">
        <f t="shared" si="99"/>
        <v>increase</v>
      </c>
      <c r="U101" s="38" t="str">
        <f t="shared" si="100"/>
        <v>-</v>
      </c>
      <c r="V101" s="38" t="str">
        <f t="shared" si="104"/>
        <v>Kodiak Fd/Bt Her Trawl 75ft</v>
      </c>
      <c r="W101" s="43" t="str">
        <f>IF(ISNA(VLOOKUP(B101,Table5Data!$A:$N,2,FALSE)),"-",VLOOKUP(B101,Table5Data!$A:$N,7,FALSE))</f>
        <v>-</v>
      </c>
    </row>
    <row r="102" spans="1:23" ht="15">
      <c r="A102" s="7" t="s">
        <v>340</v>
      </c>
      <c r="B102" s="10" t="s">
        <v>341</v>
      </c>
      <c r="C102" s="38" t="str">
        <f>IF(ISNA(VLOOKUP(B102,Table5Data!$A:$N,2,FALSE)),"-",VLOOKUP(B102,Table5Data!$A:$N,2,FALSE))</f>
        <v>-</v>
      </c>
      <c r="D102" s="38" t="str">
        <f t="shared" si="90"/>
        <v>increase</v>
      </c>
      <c r="E102" s="38" t="str">
        <f t="shared" si="91"/>
        <v>-</v>
      </c>
      <c r="F102" s="38" t="str">
        <f t="shared" si="92"/>
        <v>Kodiak Fd/Bt Her Trawl 70ft</v>
      </c>
      <c r="G102" s="43" t="str">
        <f>IF(ISNA(VLOOKUP(B102,Table5Data!$A:$N,2,FALSE)),"-",VLOOKUP(B102,Table5Data!$A:$N,3,FALSE))</f>
        <v>-</v>
      </c>
      <c r="H102" s="38" t="str">
        <f t="shared" si="93"/>
        <v>increase</v>
      </c>
      <c r="I102" s="38" t="str">
        <f t="shared" si="94"/>
        <v>-</v>
      </c>
      <c r="J102" s="38" t="str">
        <f t="shared" si="101"/>
        <v>Kodiak Fd/Bt Her Trawl 70ft</v>
      </c>
      <c r="K102" s="43" t="str">
        <f>IF(ISNA(VLOOKUP(B102,Table5Data!$A:$N,2,FALSE)),"-",VLOOKUP(B102,Table5Data!$A:$N,4,FALSE))</f>
        <v>-</v>
      </c>
      <c r="L102" s="38" t="str">
        <f t="shared" si="95"/>
        <v>increase</v>
      </c>
      <c r="M102" s="38" t="str">
        <f t="shared" si="96"/>
        <v>-</v>
      </c>
      <c r="N102" s="38" t="str">
        <f t="shared" si="102"/>
        <v>Kodiak Fd/Bt Her Trawl 70ft</v>
      </c>
      <c r="O102" s="43" t="str">
        <f>IF(ISNA(VLOOKUP(B102,Table5Data!$A:$N,2,FALSE)),"-",VLOOKUP(B102,Table5Data!$A:$N,5,FALSE))</f>
        <v>-</v>
      </c>
      <c r="P102" s="38" t="str">
        <f t="shared" si="97"/>
        <v>increase</v>
      </c>
      <c r="Q102" s="38" t="str">
        <f t="shared" si="98"/>
        <v>-</v>
      </c>
      <c r="R102" s="38" t="str">
        <f t="shared" si="103"/>
        <v>Kodiak Fd/Bt Her Trawl 70ft</v>
      </c>
      <c r="S102" s="43" t="str">
        <f>IF(ISNA(VLOOKUP(B102,Table5Data!$A:$N,2,FALSE)),"-",VLOOKUP(B102,Table5Data!$A:$N,6,FALSE))</f>
        <v>-</v>
      </c>
      <c r="T102" s="38" t="str">
        <f t="shared" si="99"/>
        <v>increase</v>
      </c>
      <c r="U102" s="38" t="str">
        <f t="shared" si="100"/>
        <v>-</v>
      </c>
      <c r="V102" s="38" t="str">
        <f t="shared" si="104"/>
        <v>Kodiak Fd/Bt Her Trawl 70ft</v>
      </c>
      <c r="W102" s="43" t="str">
        <f>IF(ISNA(VLOOKUP(B102,Table5Data!$A:$N,2,FALSE)),"-",VLOOKUP(B102,Table5Data!$A:$N,7,FALSE))</f>
        <v>-</v>
      </c>
    </row>
    <row r="103" spans="1:23" ht="15">
      <c r="A103" s="7" t="s">
        <v>342</v>
      </c>
      <c r="B103" s="10" t="s">
        <v>343</v>
      </c>
      <c r="C103" s="72" t="str">
        <f>IF(ISNA(VLOOKUP(B103,Table5Data!$A:$N,2,FALSE)),"-",VLOOKUP(B103,Table5Data!$A:$N,2,FALSE))</f>
        <v>-</v>
      </c>
      <c r="D103" s="72" t="str">
        <f t="shared" si="90"/>
        <v>increase</v>
      </c>
      <c r="E103" s="72" t="str">
        <f t="shared" si="91"/>
        <v>-</v>
      </c>
      <c r="F103" s="72" t="str">
        <f t="shared" si="92"/>
        <v>Kodiak Fd/Bt Her Trawl 60ft</v>
      </c>
      <c r="G103" s="124" t="str">
        <f>IF(ISNA(VLOOKUP(B103,Table5Data!$A:$N,2,FALSE)),"-",VLOOKUP(B103,Table5Data!$A:$N,3,FALSE))</f>
        <v>-</v>
      </c>
      <c r="H103" s="72" t="str">
        <f t="shared" si="93"/>
        <v>increase</v>
      </c>
      <c r="I103" s="72" t="str">
        <f t="shared" si="94"/>
        <v>-</v>
      </c>
      <c r="J103" s="72" t="str">
        <f t="shared" si="101"/>
        <v>Kodiak Fd/Bt Her Trawl 60ft</v>
      </c>
      <c r="K103" s="124" t="str">
        <f>IF(ISNA(VLOOKUP(B103,Table5Data!$A:$N,2,FALSE)),"-",VLOOKUP(B103,Table5Data!$A:$N,4,FALSE))</f>
        <v>-</v>
      </c>
      <c r="L103" s="72" t="str">
        <f t="shared" si="95"/>
        <v>increase</v>
      </c>
      <c r="M103" s="72" t="str">
        <f t="shared" si="96"/>
        <v>-</v>
      </c>
      <c r="N103" s="72" t="str">
        <f t="shared" si="102"/>
        <v>Kodiak Fd/Bt Her Trawl 60ft</v>
      </c>
      <c r="O103" s="124" t="str">
        <f>IF(ISNA(VLOOKUP(B103,Table5Data!$A:$N,2,FALSE)),"-",VLOOKUP(B103,Table5Data!$A:$N,5,FALSE))</f>
        <v>-</v>
      </c>
      <c r="P103" s="72" t="str">
        <f t="shared" si="97"/>
        <v>increase</v>
      </c>
      <c r="Q103" s="72" t="str">
        <f t="shared" si="98"/>
        <v>-</v>
      </c>
      <c r="R103" s="72" t="str">
        <f t="shared" si="103"/>
        <v>Kodiak Fd/Bt Her Trawl 60ft</v>
      </c>
      <c r="S103" s="124" t="str">
        <f>IF(ISNA(VLOOKUP(B103,Table5Data!$A:$N,2,FALSE)),"-",VLOOKUP(B103,Table5Data!$A:$N,6,FALSE))</f>
        <v>-</v>
      </c>
      <c r="T103" s="72" t="str">
        <f t="shared" si="99"/>
        <v>increase</v>
      </c>
      <c r="U103" s="72" t="str">
        <f t="shared" si="100"/>
        <v>-</v>
      </c>
      <c r="V103" s="72" t="str">
        <f t="shared" si="104"/>
        <v>Kodiak Fd/Bt Her Trawl 60ft</v>
      </c>
      <c r="W103" s="124" t="str">
        <f>IF(ISNA(VLOOKUP(B103,Table5Data!$A:$N,2,FALSE)),"-",VLOOKUP(B103,Table5Data!$A:$N,7,FALSE))</f>
        <v>-</v>
      </c>
    </row>
    <row r="104" spans="1:23" ht="15">
      <c r="A104" s="7"/>
      <c r="B104" s="10"/>
      <c r="C104" s="44">
        <f>SUM(C96:C103)</f>
        <v>1</v>
      </c>
      <c r="D104" s="44"/>
      <c r="E104" s="44"/>
      <c r="F104" s="44"/>
      <c r="G104" s="44">
        <f>SUM(G96:G103)</f>
        <v>1</v>
      </c>
      <c r="H104" s="44"/>
      <c r="I104" s="44"/>
      <c r="J104" s="44"/>
      <c r="K104" s="44">
        <f>SUM(K96:K103)</f>
        <v>17</v>
      </c>
      <c r="L104" s="44"/>
      <c r="M104" s="44"/>
      <c r="N104" s="44"/>
      <c r="O104" s="44">
        <f>SUM(O96:O103)</f>
        <v>-2</v>
      </c>
      <c r="P104" s="44"/>
      <c r="Q104" s="44"/>
      <c r="R104" s="44"/>
      <c r="S104" s="44">
        <f>SUM(S96:S103)</f>
        <v>-17</v>
      </c>
      <c r="T104" s="44"/>
      <c r="U104" s="44"/>
      <c r="V104" s="44"/>
      <c r="W104" s="44">
        <f>SUM(W96:W103)</f>
        <v>0</v>
      </c>
    </row>
    <row r="105" spans="1:23" ht="15">
      <c r="A105" s="8"/>
      <c r="B105" s="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5">
      <c r="A106" s="9">
        <v>2004</v>
      </c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5">
      <c r="A107" s="7" t="s">
        <v>344</v>
      </c>
      <c r="B107" s="7" t="s">
        <v>345</v>
      </c>
      <c r="C107" s="38">
        <f>IF(ISNA(VLOOKUP(B107,Table5Data!$A:$N,2,FALSE)),"-",VLOOKUP(B107,Table5Data!$A:$N,2,FALSE))</f>
        <v>0</v>
      </c>
      <c r="D107" s="38" t="str">
        <f>IF(C107&lt;0,"decrease",IF(C107=0,"constant","increase"))</f>
        <v>constant</v>
      </c>
      <c r="E107" s="38">
        <f>C107</f>
        <v>0</v>
      </c>
      <c r="F107" s="38" t="str">
        <f>A107</f>
        <v>Kodiak Tnr Bairdi Pot 120ft</v>
      </c>
      <c r="G107" s="43">
        <f>IF(ISNA(VLOOKUP(B107,Table5Data!$A:$N,2,FALSE)),"-",VLOOKUP(B107,Table5Data!$A:$N,3,FALSE))</f>
        <v>-1</v>
      </c>
      <c r="H107" s="38" t="str">
        <f>IF(G107&lt;0,"decrease",IF(G107=0,"constant","increase"))</f>
        <v>decrease</v>
      </c>
      <c r="I107" s="38">
        <f>G107</f>
        <v>-1</v>
      </c>
      <c r="J107" s="38" t="str">
        <f>F107</f>
        <v>Kodiak Tnr Bairdi Pot 120ft</v>
      </c>
      <c r="K107" s="43">
        <f>IF(ISNA(VLOOKUP(B107,Table5Data!$A:$N,2,FALSE)),"-",VLOOKUP(B107,Table5Data!$A:$N,4,FALSE))</f>
        <v>1</v>
      </c>
      <c r="L107" s="38" t="str">
        <f>IF(K107&lt;0,"decrease",IF(K107=0,"constant","increase"))</f>
        <v>increase</v>
      </c>
      <c r="M107" s="38">
        <f>K107</f>
        <v>1</v>
      </c>
      <c r="N107" s="38" t="str">
        <f>J107</f>
        <v>Kodiak Tnr Bairdi Pot 120ft</v>
      </c>
      <c r="O107" s="43">
        <f>IF(ISNA(VLOOKUP(B107,Table5Data!$A:$N,2,FALSE)),"-",VLOOKUP(B107,Table5Data!$A:$N,5,FALSE))</f>
        <v>-1</v>
      </c>
      <c r="P107" s="38" t="str">
        <f>IF(O107&lt;0,"decrease",IF(O107=0,"constant","increase"))</f>
        <v>decrease</v>
      </c>
      <c r="Q107" s="38">
        <f>O107</f>
        <v>-1</v>
      </c>
      <c r="R107" s="38" t="str">
        <f>N107</f>
        <v>Kodiak Tnr Bairdi Pot 120ft</v>
      </c>
      <c r="S107" s="43">
        <f>IF(ISNA(VLOOKUP(B107,Table5Data!$A:$N,2,FALSE)),"-",VLOOKUP(B107,Table5Data!$A:$N,6,FALSE))</f>
        <v>1</v>
      </c>
      <c r="T107" s="38" t="str">
        <f>IF(S107&lt;0,"decrease",IF(S107=0,"constant","increase"))</f>
        <v>increase</v>
      </c>
      <c r="U107" s="38">
        <f>S107</f>
        <v>1</v>
      </c>
      <c r="V107" s="38" t="str">
        <f>R107</f>
        <v>Kodiak Tnr Bairdi Pot 120ft</v>
      </c>
      <c r="W107" s="43">
        <f>IF(ISNA(VLOOKUP(B107,Table5Data!$A:$N,2,FALSE)),"-",VLOOKUP(B107,Table5Data!$A:$N,7,FALSE))</f>
        <v>0</v>
      </c>
    </row>
    <row r="108" spans="1:23" ht="15">
      <c r="A108" s="7" t="s">
        <v>346</v>
      </c>
      <c r="B108" s="7" t="s">
        <v>347</v>
      </c>
      <c r="C108" s="72">
        <f>IF(ISNA(VLOOKUP(B108,Table5Data!$A:$N,2,FALSE)),"-",VLOOKUP(B108,Table5Data!$A:$N,2,FALSE))</f>
        <v>-2</v>
      </c>
      <c r="D108" s="72" t="str">
        <f>IF(C108&lt;0,"decrease",IF(C108=0,"constant","increase"))</f>
        <v>decrease</v>
      </c>
      <c r="E108" s="72">
        <f>C108</f>
        <v>-2</v>
      </c>
      <c r="F108" s="72" t="str">
        <f>A108</f>
        <v>Kodiak Tnr Bairdi Pot 60ft</v>
      </c>
      <c r="G108" s="124">
        <f>IF(ISNA(VLOOKUP(B108,Table5Data!$A:$N,2,FALSE)),"-",VLOOKUP(B108,Table5Data!$A:$N,3,FALSE))</f>
        <v>8</v>
      </c>
      <c r="H108" s="72" t="str">
        <f>IF(G108&lt;0,"decrease",IF(G108=0,"constant","increase"))</f>
        <v>increase</v>
      </c>
      <c r="I108" s="72">
        <f>G108</f>
        <v>8</v>
      </c>
      <c r="J108" s="72" t="str">
        <f>F108</f>
        <v>Kodiak Tnr Bairdi Pot 60ft</v>
      </c>
      <c r="K108" s="124">
        <f>IF(ISNA(VLOOKUP(B108,Table5Data!$A:$N,2,FALSE)),"-",VLOOKUP(B108,Table5Data!$A:$N,4,FALSE))</f>
        <v>-3</v>
      </c>
      <c r="L108" s="72" t="str">
        <f>IF(K108&lt;0,"decrease",IF(K108=0,"constant","increase"))</f>
        <v>decrease</v>
      </c>
      <c r="M108" s="72">
        <f>K108</f>
        <v>-3</v>
      </c>
      <c r="N108" s="72" t="str">
        <f>J108</f>
        <v>Kodiak Tnr Bairdi Pot 60ft</v>
      </c>
      <c r="O108" s="124">
        <f>IF(ISNA(VLOOKUP(B108,Table5Data!$A:$N,2,FALSE)),"-",VLOOKUP(B108,Table5Data!$A:$N,5,FALSE))</f>
        <v>-2</v>
      </c>
      <c r="P108" s="72" t="str">
        <f>IF(O108&lt;0,"decrease",IF(O108=0,"constant","increase"))</f>
        <v>decrease</v>
      </c>
      <c r="Q108" s="72">
        <f>O108</f>
        <v>-2</v>
      </c>
      <c r="R108" s="72" t="str">
        <f>N108</f>
        <v>Kodiak Tnr Bairdi Pot 60ft</v>
      </c>
      <c r="S108" s="124">
        <f>IF(ISNA(VLOOKUP(B108,Table5Data!$A:$N,2,FALSE)),"-",VLOOKUP(B108,Table5Data!$A:$N,6,FALSE))</f>
        <v>-2</v>
      </c>
      <c r="T108" s="72" t="str">
        <f>IF(S108&lt;0,"decrease",IF(S108=0,"constant","increase"))</f>
        <v>decrease</v>
      </c>
      <c r="U108" s="72">
        <f>S108</f>
        <v>-2</v>
      </c>
      <c r="V108" s="72" t="str">
        <f>R108</f>
        <v>Kodiak Tnr Bairdi Pot 60ft</v>
      </c>
      <c r="W108" s="124">
        <f>IF(ISNA(VLOOKUP(B108,Table5Data!$A:$N,2,FALSE)),"-",VLOOKUP(B108,Table5Data!$A:$N,7,FALSE))</f>
        <v>1</v>
      </c>
    </row>
    <row r="109" spans="1:23" ht="15">
      <c r="A109" s="7"/>
      <c r="B109" s="7"/>
      <c r="C109" s="44">
        <f>SUM(C107:C108)</f>
        <v>-2</v>
      </c>
      <c r="D109" s="44"/>
      <c r="E109" s="44"/>
      <c r="F109" s="44"/>
      <c r="G109" s="44">
        <f>SUM(G107:G108)</f>
        <v>7</v>
      </c>
      <c r="H109" s="44"/>
      <c r="I109" s="44"/>
      <c r="J109" s="44"/>
      <c r="K109" s="44">
        <f>SUM(K107:K108)</f>
        <v>-2</v>
      </c>
      <c r="L109" s="44"/>
      <c r="M109" s="44"/>
      <c r="N109" s="44"/>
      <c r="O109" s="44">
        <f>SUM(O107:O108)</f>
        <v>-3</v>
      </c>
      <c r="P109" s="44"/>
      <c r="Q109" s="44"/>
      <c r="R109" s="44"/>
      <c r="S109" s="44">
        <f>SUM(S107:S108)</f>
        <v>-1</v>
      </c>
      <c r="T109" s="44"/>
      <c r="U109" s="44"/>
      <c r="V109" s="44"/>
      <c r="W109" s="44">
        <f>SUM(W107:W108)</f>
        <v>1</v>
      </c>
    </row>
    <row r="110" spans="1:23" ht="15">
      <c r="A110" s="7"/>
      <c r="B110" s="7"/>
      <c r="C110" s="16"/>
      <c r="D110" s="16"/>
      <c r="E110" s="16"/>
      <c r="F110" s="16"/>
      <c r="G110" s="19"/>
      <c r="H110" s="16"/>
      <c r="I110" s="16"/>
      <c r="J110" s="16"/>
      <c r="K110" s="19"/>
      <c r="L110" s="16"/>
      <c r="M110" s="16"/>
      <c r="N110" s="16"/>
      <c r="O110" s="19"/>
      <c r="P110" s="16"/>
      <c r="Q110" s="16"/>
      <c r="R110" s="16"/>
      <c r="S110" s="19"/>
      <c r="T110" s="16"/>
      <c r="U110" s="16"/>
      <c r="V110" s="16"/>
      <c r="W110" s="19"/>
    </row>
    <row r="111" spans="1:23" ht="15">
      <c r="A111" s="80" t="str">
        <f>"Net Shifts 1975-"&amp;Sundry!B2</f>
        <v>Net Shifts 1975-2010</v>
      </c>
      <c r="B111" s="78"/>
      <c r="C111" s="79">
        <f>C109+C104+C93+C80+C69+C60+C41+C34+C25</f>
        <v>-558</v>
      </c>
      <c r="D111" s="79"/>
      <c r="E111" s="79"/>
      <c r="F111" s="79"/>
      <c r="G111" s="79">
        <f>G109+G104+G93+G80+G69+G60+G41+G34+G25</f>
        <v>289</v>
      </c>
      <c r="H111" s="79"/>
      <c r="I111" s="79"/>
      <c r="J111" s="79"/>
      <c r="K111" s="79">
        <f>K109+K104+K93+K80+K69+K60+K41+K34+K25</f>
        <v>300</v>
      </c>
      <c r="L111" s="79"/>
      <c r="M111" s="79"/>
      <c r="N111" s="79"/>
      <c r="O111" s="79">
        <f>O109+O104+O93+O80+O69+O60+O41+O34+O25</f>
        <v>161</v>
      </c>
      <c r="P111" s="79"/>
      <c r="Q111" s="79"/>
      <c r="R111" s="79"/>
      <c r="S111" s="79">
        <f>S109+S104+S93+S80+S69+S60+S41+S34+S25</f>
        <v>-200</v>
      </c>
      <c r="T111" s="79"/>
      <c r="U111" s="79"/>
      <c r="V111" s="79"/>
      <c r="W111" s="79">
        <f>W109+W104+W93+W80+W69+W60+W41+W34+W25</f>
        <v>8</v>
      </c>
    </row>
    <row r="112" spans="3:23" ht="15">
      <c r="C112" s="5">
        <f>IF(VLOOKUP("Total",Table8!A:B,2,FALSE)=C111,"","error")</f>
      </c>
      <c r="G112" s="5">
        <f>IF(VLOOKUP("Total",Table8!A:F,6,FALSE)=G111,"","ERROR")</f>
      </c>
      <c r="K112" s="5">
        <f>IF(VLOOKUP("Total",Table8!A:Z,10,FALSE)=K111,"","ERROR")</f>
      </c>
      <c r="O112" s="5">
        <f>IF(VLOOKUP("Total",Table8!A:Z,14,FALSE)=O111,"","ERROR")</f>
      </c>
      <c r="S112" s="5">
        <f>IF(VLOOKUP("Total",Table8!A:Z,18,FALSE)=S111,"","error")</f>
      </c>
      <c r="W112" s="5">
        <f>IF(VLOOKUP("Total",Table8!A:Z,22,FALSE)=W111,"","ERROR")</f>
      </c>
    </row>
    <row r="113" spans="1:23" s="2" customFormat="1" ht="30" customHeight="1">
      <c r="A113" s="167" t="s">
        <v>557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3:23" s="2" customFormat="1" ht="1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">
      <c r="A115" s="2" t="s">
        <v>556</v>
      </c>
    </row>
  </sheetData>
  <sheetProtection/>
  <mergeCells count="1">
    <mergeCell ref="A113:W11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pane xSplit="1" ySplit="1" topLeftCell="T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M36" sqref="AM36"/>
    </sheetView>
  </sheetViews>
  <sheetFormatPr defaultColWidth="9.140625" defaultRowHeight="15"/>
  <cols>
    <col min="1" max="1" width="18.8515625" style="2" bestFit="1" customWidth="1"/>
    <col min="2" max="36" width="5.7109375" style="46" customWidth="1"/>
    <col min="37" max="38" width="9.57421875" style="46" bestFit="1" customWidth="1"/>
    <col min="39" max="39" width="12.57421875" style="46" bestFit="1" customWidth="1"/>
    <col min="40" max="50" width="5.7109375" style="46" customWidth="1"/>
    <col min="51" max="16384" width="9.140625" style="46" customWidth="1"/>
  </cols>
  <sheetData>
    <row r="1" spans="1:38" s="52" customFormat="1" ht="30" customHeight="1">
      <c r="A1" s="55" t="s">
        <v>462</v>
      </c>
      <c r="B1" s="51"/>
      <c r="C1" s="51" t="s">
        <v>463</v>
      </c>
      <c r="D1" s="51" t="s">
        <v>464</v>
      </c>
      <c r="E1" s="51" t="s">
        <v>465</v>
      </c>
      <c r="F1" s="51" t="s">
        <v>466</v>
      </c>
      <c r="G1" s="51" t="s">
        <v>467</v>
      </c>
      <c r="H1" s="51" t="s">
        <v>468</v>
      </c>
      <c r="I1" s="51" t="s">
        <v>469</v>
      </c>
      <c r="J1" s="51" t="s">
        <v>470</v>
      </c>
      <c r="K1" s="51" t="s">
        <v>471</v>
      </c>
      <c r="L1" s="51" t="s">
        <v>472</v>
      </c>
      <c r="M1" s="51" t="s">
        <v>473</v>
      </c>
      <c r="N1" s="51" t="s">
        <v>474</v>
      </c>
      <c r="O1" s="51" t="s">
        <v>475</v>
      </c>
      <c r="P1" s="51" t="s">
        <v>476</v>
      </c>
      <c r="Q1" s="51" t="s">
        <v>477</v>
      </c>
      <c r="R1" s="51" t="s">
        <v>478</v>
      </c>
      <c r="S1" s="51" t="s">
        <v>479</v>
      </c>
      <c r="T1" s="51" t="s">
        <v>480</v>
      </c>
      <c r="U1" s="51" t="s">
        <v>481</v>
      </c>
      <c r="V1" s="51" t="s">
        <v>482</v>
      </c>
      <c r="W1" s="51" t="s">
        <v>381</v>
      </c>
      <c r="X1" s="51" t="s">
        <v>368</v>
      </c>
      <c r="Y1" s="51" t="s">
        <v>483</v>
      </c>
      <c r="Z1" s="51" t="s">
        <v>484</v>
      </c>
      <c r="AA1" s="51" t="s">
        <v>485</v>
      </c>
      <c r="AB1" s="51" t="s">
        <v>486</v>
      </c>
      <c r="AC1" s="51" t="s">
        <v>487</v>
      </c>
      <c r="AD1" s="51" t="s">
        <v>443</v>
      </c>
      <c r="AE1" s="51" t="s">
        <v>488</v>
      </c>
      <c r="AF1" s="51" t="s">
        <v>489</v>
      </c>
      <c r="AG1" s="51" t="s">
        <v>490</v>
      </c>
      <c r="AH1" s="51" t="s">
        <v>491</v>
      </c>
      <c r="AI1" s="51" t="s">
        <v>492</v>
      </c>
      <c r="AJ1" s="51" t="s">
        <v>493</v>
      </c>
      <c r="AK1" s="55" t="s">
        <v>531</v>
      </c>
      <c r="AL1" s="55" t="s">
        <v>532</v>
      </c>
    </row>
    <row r="3" ht="15">
      <c r="A3" s="53" t="s">
        <v>495</v>
      </c>
    </row>
    <row r="4" spans="1:57" ht="15">
      <c r="A4" s="97" t="s">
        <v>533</v>
      </c>
      <c r="B4" s="45">
        <v>4</v>
      </c>
      <c r="C4" s="45">
        <v>6</v>
      </c>
      <c r="D4" s="45">
        <v>9</v>
      </c>
      <c r="E4" s="45">
        <v>6</v>
      </c>
      <c r="F4" s="45">
        <v>6</v>
      </c>
      <c r="G4" s="45">
        <v>5</v>
      </c>
      <c r="H4" s="45">
        <v>18</v>
      </c>
      <c r="I4" s="45">
        <v>8</v>
      </c>
      <c r="J4" s="45">
        <v>15</v>
      </c>
      <c r="K4" s="45">
        <v>5</v>
      </c>
      <c r="L4" s="45">
        <v>6</v>
      </c>
      <c r="M4" s="45">
        <v>6</v>
      </c>
      <c r="N4" s="45">
        <v>9</v>
      </c>
      <c r="O4" s="45">
        <v>11</v>
      </c>
      <c r="P4" s="45">
        <v>21</v>
      </c>
      <c r="Q4" s="45">
        <v>7</v>
      </c>
      <c r="R4" s="45">
        <v>8</v>
      </c>
      <c r="S4" s="45">
        <v>8</v>
      </c>
      <c r="T4" s="45">
        <v>18</v>
      </c>
      <c r="U4" s="45">
        <v>10</v>
      </c>
      <c r="V4" s="45">
        <v>16</v>
      </c>
      <c r="W4" s="45">
        <v>7</v>
      </c>
      <c r="X4" s="45">
        <v>6</v>
      </c>
      <c r="Y4" s="45">
        <v>14</v>
      </c>
      <c r="Z4" s="45">
        <v>10</v>
      </c>
      <c r="AA4" s="45">
        <v>5</v>
      </c>
      <c r="AB4" s="45">
        <v>8</v>
      </c>
      <c r="AC4" s="45">
        <v>12</v>
      </c>
      <c r="AD4" s="45">
        <v>12</v>
      </c>
      <c r="AE4" s="45">
        <v>7</v>
      </c>
      <c r="AF4" s="45">
        <v>5</v>
      </c>
      <c r="AG4" s="45">
        <v>8</v>
      </c>
      <c r="AH4" s="45">
        <v>8</v>
      </c>
      <c r="AI4" s="45">
        <v>5</v>
      </c>
      <c r="AJ4" s="45">
        <v>5</v>
      </c>
      <c r="AK4" s="67">
        <v>314</v>
      </c>
      <c r="AL4" s="67">
        <v>0.027948375611927014</v>
      </c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45"/>
      <c r="BE4" s="45"/>
    </row>
    <row r="5" spans="1:57" ht="15">
      <c r="A5" s="97" t="s">
        <v>497</v>
      </c>
      <c r="B5" s="45">
        <v>11</v>
      </c>
      <c r="C5" s="45">
        <v>29</v>
      </c>
      <c r="D5" s="45">
        <v>27</v>
      </c>
      <c r="E5" s="45">
        <v>29</v>
      </c>
      <c r="F5" s="45">
        <v>25</v>
      </c>
      <c r="G5" s="45">
        <v>21</v>
      </c>
      <c r="H5" s="45">
        <v>35</v>
      </c>
      <c r="I5" s="45">
        <v>22</v>
      </c>
      <c r="J5" s="45">
        <v>37</v>
      </c>
      <c r="K5" s="45">
        <v>35</v>
      </c>
      <c r="L5" s="45">
        <v>33</v>
      </c>
      <c r="M5" s="45">
        <v>27</v>
      </c>
      <c r="N5" s="45">
        <v>35</v>
      </c>
      <c r="O5" s="45">
        <v>40</v>
      </c>
      <c r="P5" s="45">
        <v>55</v>
      </c>
      <c r="Q5" s="45">
        <v>42</v>
      </c>
      <c r="R5" s="45">
        <v>34</v>
      </c>
      <c r="S5" s="45">
        <v>38</v>
      </c>
      <c r="T5" s="45">
        <v>30</v>
      </c>
      <c r="U5" s="45">
        <v>30</v>
      </c>
      <c r="V5" s="45">
        <v>28</v>
      </c>
      <c r="W5" s="45">
        <v>30</v>
      </c>
      <c r="X5" s="45">
        <v>34</v>
      </c>
      <c r="Y5" s="45">
        <v>46</v>
      </c>
      <c r="Z5" s="45">
        <v>44</v>
      </c>
      <c r="AA5" s="45">
        <v>47</v>
      </c>
      <c r="AB5" s="45">
        <v>53</v>
      </c>
      <c r="AC5" s="45">
        <v>32</v>
      </c>
      <c r="AD5" s="45">
        <v>29</v>
      </c>
      <c r="AE5" s="45">
        <v>40</v>
      </c>
      <c r="AF5" s="45">
        <v>33</v>
      </c>
      <c r="AG5" s="45">
        <v>24</v>
      </c>
      <c r="AH5" s="45">
        <v>28</v>
      </c>
      <c r="AI5" s="45">
        <v>30</v>
      </c>
      <c r="AJ5" s="45">
        <v>32</v>
      </c>
      <c r="AK5" s="67">
        <v>1165</v>
      </c>
      <c r="AL5" s="67">
        <v>0.10369381397418781</v>
      </c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45"/>
      <c r="BE5" s="45"/>
    </row>
    <row r="6" spans="1:57" ht="15">
      <c r="A6" s="97" t="s">
        <v>534</v>
      </c>
      <c r="B6" s="45">
        <v>18</v>
      </c>
      <c r="C6" s="45">
        <v>20</v>
      </c>
      <c r="D6" s="45">
        <v>12</v>
      </c>
      <c r="E6" s="45">
        <v>19</v>
      </c>
      <c r="F6" s="45">
        <v>28</v>
      </c>
      <c r="G6" s="45">
        <v>27</v>
      </c>
      <c r="H6" s="45">
        <v>50</v>
      </c>
      <c r="I6" s="45">
        <v>20</v>
      </c>
      <c r="J6" s="45">
        <v>30</v>
      </c>
      <c r="K6" s="45">
        <v>28</v>
      </c>
      <c r="L6" s="45">
        <v>28</v>
      </c>
      <c r="M6" s="45">
        <v>32</v>
      </c>
      <c r="N6" s="45">
        <v>33</v>
      </c>
      <c r="O6" s="45">
        <v>41</v>
      </c>
      <c r="P6" s="45">
        <v>63</v>
      </c>
      <c r="Q6" s="45">
        <v>43</v>
      </c>
      <c r="R6" s="45">
        <v>28</v>
      </c>
      <c r="S6" s="45">
        <v>27</v>
      </c>
      <c r="T6" s="45">
        <v>28</v>
      </c>
      <c r="U6" s="45">
        <v>48</v>
      </c>
      <c r="V6" s="45">
        <v>41</v>
      </c>
      <c r="W6" s="45">
        <v>38</v>
      </c>
      <c r="X6" s="45">
        <v>43</v>
      </c>
      <c r="Y6" s="45">
        <v>55</v>
      </c>
      <c r="Z6" s="45">
        <v>47</v>
      </c>
      <c r="AA6" s="45">
        <v>70</v>
      </c>
      <c r="AB6" s="45">
        <v>45</v>
      </c>
      <c r="AC6" s="45">
        <v>35</v>
      </c>
      <c r="AD6" s="45">
        <v>51</v>
      </c>
      <c r="AE6" s="45">
        <v>35</v>
      </c>
      <c r="AF6" s="45">
        <v>27</v>
      </c>
      <c r="AG6" s="45">
        <v>25</v>
      </c>
      <c r="AH6" s="45">
        <v>25</v>
      </c>
      <c r="AI6" s="45">
        <v>23</v>
      </c>
      <c r="AJ6" s="45">
        <v>35</v>
      </c>
      <c r="AK6" s="67">
        <v>1218</v>
      </c>
      <c r="AL6" s="67">
        <v>0.10841121495327102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45"/>
      <c r="BE6" s="45"/>
    </row>
    <row r="7" spans="1:57" s="50" customFormat="1" ht="15">
      <c r="A7" s="4" t="s">
        <v>499</v>
      </c>
      <c r="B7" s="49">
        <v>9</v>
      </c>
      <c r="C7" s="49">
        <v>31</v>
      </c>
      <c r="D7" s="49">
        <v>66</v>
      </c>
      <c r="E7" s="49">
        <v>33</v>
      </c>
      <c r="F7" s="49">
        <v>27</v>
      </c>
      <c r="G7" s="49">
        <v>32</v>
      </c>
      <c r="H7" s="49">
        <v>31</v>
      </c>
      <c r="I7" s="49">
        <v>17</v>
      </c>
      <c r="J7" s="49">
        <v>36</v>
      </c>
      <c r="K7" s="49">
        <v>26</v>
      </c>
      <c r="L7" s="49">
        <v>36</v>
      </c>
      <c r="M7" s="49">
        <v>36</v>
      </c>
      <c r="N7" s="49">
        <v>46</v>
      </c>
      <c r="O7" s="49">
        <v>40</v>
      </c>
      <c r="P7" s="49">
        <v>38</v>
      </c>
      <c r="Q7" s="49">
        <v>26</v>
      </c>
      <c r="R7" s="49">
        <v>20</v>
      </c>
      <c r="S7" s="49">
        <v>33</v>
      </c>
      <c r="T7" s="49">
        <v>29</v>
      </c>
      <c r="U7" s="49">
        <v>34</v>
      </c>
      <c r="V7" s="49">
        <v>33</v>
      </c>
      <c r="W7" s="49">
        <v>35</v>
      </c>
      <c r="X7" s="49">
        <v>28</v>
      </c>
      <c r="Y7" s="49">
        <v>31</v>
      </c>
      <c r="Z7" s="49">
        <v>52</v>
      </c>
      <c r="AA7" s="49">
        <v>25</v>
      </c>
      <c r="AB7" s="49">
        <v>50</v>
      </c>
      <c r="AC7" s="49">
        <v>49</v>
      </c>
      <c r="AD7" s="49">
        <v>40</v>
      </c>
      <c r="AE7" s="49">
        <v>43</v>
      </c>
      <c r="AF7" s="49">
        <v>35</v>
      </c>
      <c r="AG7" s="49">
        <v>40</v>
      </c>
      <c r="AH7" s="49">
        <v>34</v>
      </c>
      <c r="AI7" s="49">
        <v>47</v>
      </c>
      <c r="AJ7" s="49">
        <v>22</v>
      </c>
      <c r="AK7" s="68">
        <v>1210</v>
      </c>
      <c r="AL7" s="68">
        <v>0.10769915442812639</v>
      </c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49"/>
      <c r="BE7" s="49"/>
    </row>
    <row r="8" spans="1:57" s="48" customFormat="1" ht="15">
      <c r="A8" s="2"/>
      <c r="B8" s="47">
        <v>42</v>
      </c>
      <c r="C8" s="47">
        <v>86</v>
      </c>
      <c r="D8" s="47">
        <v>114</v>
      </c>
      <c r="E8" s="47">
        <v>87</v>
      </c>
      <c r="F8" s="47">
        <v>86</v>
      </c>
      <c r="G8" s="47">
        <v>85</v>
      </c>
      <c r="H8" s="47">
        <v>134</v>
      </c>
      <c r="I8" s="47">
        <v>67</v>
      </c>
      <c r="J8" s="47">
        <v>118</v>
      </c>
      <c r="K8" s="47">
        <v>94</v>
      </c>
      <c r="L8" s="47">
        <v>103</v>
      </c>
      <c r="M8" s="47">
        <v>101</v>
      </c>
      <c r="N8" s="47">
        <v>123</v>
      </c>
      <c r="O8" s="47">
        <v>132</v>
      </c>
      <c r="P8" s="47">
        <v>177</v>
      </c>
      <c r="Q8" s="47">
        <v>118</v>
      </c>
      <c r="R8" s="47">
        <v>90</v>
      </c>
      <c r="S8" s="47">
        <v>106</v>
      </c>
      <c r="T8" s="47">
        <v>105</v>
      </c>
      <c r="U8" s="47">
        <v>122</v>
      </c>
      <c r="V8" s="47">
        <v>118</v>
      </c>
      <c r="W8" s="47">
        <v>110</v>
      </c>
      <c r="X8" s="47">
        <v>111</v>
      </c>
      <c r="Y8" s="47">
        <v>146</v>
      </c>
      <c r="Z8" s="47">
        <v>153</v>
      </c>
      <c r="AA8" s="47">
        <v>147</v>
      </c>
      <c r="AB8" s="47">
        <v>156</v>
      </c>
      <c r="AC8" s="47">
        <v>128</v>
      </c>
      <c r="AD8" s="47">
        <v>132</v>
      </c>
      <c r="AE8" s="47">
        <v>125</v>
      </c>
      <c r="AF8" s="47">
        <v>100</v>
      </c>
      <c r="AG8" s="47">
        <v>97</v>
      </c>
      <c r="AH8" s="47">
        <v>95</v>
      </c>
      <c r="AI8" s="47">
        <v>105</v>
      </c>
      <c r="AJ8" s="47">
        <v>94</v>
      </c>
      <c r="AK8" s="69">
        <v>3907</v>
      </c>
      <c r="AL8" s="69">
        <v>0.3477525589675122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47"/>
      <c r="BE8" s="47"/>
    </row>
    <row r="9" spans="37:55" ht="15"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55" ht="15">
      <c r="A10" s="53" t="s">
        <v>535</v>
      </c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</row>
    <row r="11" spans="1:57" ht="15">
      <c r="A11" s="97" t="s">
        <v>502</v>
      </c>
      <c r="B11" s="45">
        <v>3</v>
      </c>
      <c r="C11" s="45">
        <v>9</v>
      </c>
      <c r="D11" s="45">
        <v>6</v>
      </c>
      <c r="E11" s="45">
        <v>9</v>
      </c>
      <c r="F11" s="45">
        <v>7</v>
      </c>
      <c r="G11" s="45">
        <v>2</v>
      </c>
      <c r="H11" s="45">
        <v>7</v>
      </c>
      <c r="I11" s="45">
        <v>5</v>
      </c>
      <c r="J11" s="45">
        <v>4</v>
      </c>
      <c r="K11" s="45">
        <v>5</v>
      </c>
      <c r="L11" s="45">
        <v>7</v>
      </c>
      <c r="M11" s="45">
        <v>5</v>
      </c>
      <c r="N11" s="45">
        <v>8</v>
      </c>
      <c r="O11" s="45">
        <v>14</v>
      </c>
      <c r="P11" s="45">
        <v>3</v>
      </c>
      <c r="Q11" s="45">
        <v>8</v>
      </c>
      <c r="R11" s="45">
        <v>12</v>
      </c>
      <c r="S11" s="45">
        <v>11</v>
      </c>
      <c r="T11" s="45">
        <v>2</v>
      </c>
      <c r="U11" s="45">
        <v>5</v>
      </c>
      <c r="V11" s="45">
        <v>7</v>
      </c>
      <c r="W11" s="45">
        <v>8</v>
      </c>
      <c r="X11" s="45">
        <v>17</v>
      </c>
      <c r="Y11" s="45">
        <v>5</v>
      </c>
      <c r="Z11" s="45">
        <v>9</v>
      </c>
      <c r="AA11" s="45">
        <v>1</v>
      </c>
      <c r="AB11" s="45">
        <v>10</v>
      </c>
      <c r="AC11" s="45">
        <v>9</v>
      </c>
      <c r="AD11" s="45">
        <v>3</v>
      </c>
      <c r="AE11" s="45">
        <v>6</v>
      </c>
      <c r="AF11" s="45">
        <v>5</v>
      </c>
      <c r="AG11" s="45">
        <v>10</v>
      </c>
      <c r="AH11" s="45">
        <v>3</v>
      </c>
      <c r="AI11" s="45">
        <v>3</v>
      </c>
      <c r="AJ11" s="45">
        <v>5</v>
      </c>
      <c r="AK11" s="67">
        <v>233</v>
      </c>
      <c r="AL11" s="67">
        <v>0.02073876279483756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45"/>
      <c r="BE11" s="45"/>
    </row>
    <row r="12" spans="1:57" ht="15">
      <c r="A12" s="97" t="s">
        <v>497</v>
      </c>
      <c r="B12" s="45">
        <v>3</v>
      </c>
      <c r="C12" s="45">
        <v>2</v>
      </c>
      <c r="D12" s="45">
        <v>5</v>
      </c>
      <c r="E12" s="45">
        <v>0</v>
      </c>
      <c r="F12" s="45">
        <v>1</v>
      </c>
      <c r="G12" s="45">
        <v>2</v>
      </c>
      <c r="H12" s="45">
        <v>2</v>
      </c>
      <c r="I12" s="45">
        <v>3</v>
      </c>
      <c r="J12" s="45">
        <v>3</v>
      </c>
      <c r="K12" s="45">
        <v>1</v>
      </c>
      <c r="L12" s="45">
        <v>3</v>
      </c>
      <c r="M12" s="45">
        <v>2</v>
      </c>
      <c r="N12" s="45">
        <v>4</v>
      </c>
      <c r="O12" s="45">
        <v>3</v>
      </c>
      <c r="P12" s="45">
        <v>6</v>
      </c>
      <c r="Q12" s="45">
        <v>3</v>
      </c>
      <c r="R12" s="45">
        <v>4</v>
      </c>
      <c r="S12" s="45">
        <v>0</v>
      </c>
      <c r="T12" s="45">
        <v>4</v>
      </c>
      <c r="U12" s="45">
        <v>5</v>
      </c>
      <c r="V12" s="45">
        <v>1</v>
      </c>
      <c r="W12" s="45">
        <v>6</v>
      </c>
      <c r="X12" s="45">
        <v>1</v>
      </c>
      <c r="Y12" s="45">
        <v>1</v>
      </c>
      <c r="Z12" s="45">
        <v>2</v>
      </c>
      <c r="AA12" s="45">
        <v>0</v>
      </c>
      <c r="AB12" s="45">
        <v>6</v>
      </c>
      <c r="AC12" s="45">
        <v>2</v>
      </c>
      <c r="AD12" s="45">
        <v>3</v>
      </c>
      <c r="AE12" s="45">
        <v>1</v>
      </c>
      <c r="AF12" s="45">
        <v>2</v>
      </c>
      <c r="AG12" s="45">
        <v>2</v>
      </c>
      <c r="AH12" s="45">
        <v>4</v>
      </c>
      <c r="AI12" s="45">
        <v>1</v>
      </c>
      <c r="AJ12" s="45">
        <v>0</v>
      </c>
      <c r="AK12" s="67">
        <v>88</v>
      </c>
      <c r="AL12" s="67">
        <v>0.007832665776591011</v>
      </c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45"/>
      <c r="BE12" s="45"/>
    </row>
    <row r="13" spans="1:57" ht="15">
      <c r="A13" s="97" t="s">
        <v>534</v>
      </c>
      <c r="B13" s="45">
        <v>3</v>
      </c>
      <c r="C13" s="45">
        <v>8</v>
      </c>
      <c r="D13" s="45">
        <v>9</v>
      </c>
      <c r="E13" s="45">
        <v>7</v>
      </c>
      <c r="F13" s="45">
        <v>9</v>
      </c>
      <c r="G13" s="45">
        <v>6</v>
      </c>
      <c r="H13" s="45">
        <v>8</v>
      </c>
      <c r="I13" s="45">
        <v>8</v>
      </c>
      <c r="J13" s="45">
        <v>3</v>
      </c>
      <c r="K13" s="45">
        <v>8</v>
      </c>
      <c r="L13" s="45">
        <v>6</v>
      </c>
      <c r="M13" s="45">
        <v>14</v>
      </c>
      <c r="N13" s="45">
        <v>9</v>
      </c>
      <c r="O13" s="45">
        <v>13</v>
      </c>
      <c r="P13" s="45">
        <v>16</v>
      </c>
      <c r="Q13" s="45">
        <v>16</v>
      </c>
      <c r="R13" s="45">
        <v>10</v>
      </c>
      <c r="S13" s="45">
        <v>10</v>
      </c>
      <c r="T13" s="45">
        <v>15</v>
      </c>
      <c r="U13" s="45">
        <v>11</v>
      </c>
      <c r="V13" s="45">
        <v>2</v>
      </c>
      <c r="W13" s="45">
        <v>12</v>
      </c>
      <c r="X13" s="45">
        <v>12</v>
      </c>
      <c r="Y13" s="45">
        <v>23</v>
      </c>
      <c r="Z13" s="45">
        <v>13</v>
      </c>
      <c r="AA13" s="45">
        <v>15</v>
      </c>
      <c r="AB13" s="45">
        <v>13</v>
      </c>
      <c r="AC13" s="45">
        <v>12</v>
      </c>
      <c r="AD13" s="45">
        <v>20</v>
      </c>
      <c r="AE13" s="45">
        <v>14</v>
      </c>
      <c r="AF13" s="45">
        <v>5</v>
      </c>
      <c r="AG13" s="45">
        <v>20</v>
      </c>
      <c r="AH13" s="45">
        <v>9</v>
      </c>
      <c r="AI13" s="45">
        <v>3</v>
      </c>
      <c r="AJ13" s="45">
        <v>10</v>
      </c>
      <c r="AK13" s="67">
        <v>372</v>
      </c>
      <c r="AL13" s="67">
        <v>0.033110814419225636</v>
      </c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45"/>
      <c r="BE13" s="45"/>
    </row>
    <row r="14" spans="1:57" s="50" customFormat="1" ht="15">
      <c r="A14" s="4" t="s">
        <v>499</v>
      </c>
      <c r="B14" s="49">
        <v>1</v>
      </c>
      <c r="C14" s="49">
        <v>8</v>
      </c>
      <c r="D14" s="49">
        <v>4</v>
      </c>
      <c r="E14" s="49">
        <v>3</v>
      </c>
      <c r="F14" s="49">
        <v>9</v>
      </c>
      <c r="G14" s="49">
        <v>2</v>
      </c>
      <c r="H14" s="49">
        <v>0</v>
      </c>
      <c r="I14" s="49">
        <v>7</v>
      </c>
      <c r="J14" s="49">
        <v>5</v>
      </c>
      <c r="K14" s="49">
        <v>4</v>
      </c>
      <c r="L14" s="49">
        <v>6</v>
      </c>
      <c r="M14" s="49">
        <v>7</v>
      </c>
      <c r="N14" s="49">
        <v>7</v>
      </c>
      <c r="O14" s="49">
        <v>8</v>
      </c>
      <c r="P14" s="49">
        <v>12</v>
      </c>
      <c r="Q14" s="49">
        <v>8</v>
      </c>
      <c r="R14" s="49">
        <v>5</v>
      </c>
      <c r="S14" s="49">
        <v>11</v>
      </c>
      <c r="T14" s="49">
        <v>11</v>
      </c>
      <c r="U14" s="49">
        <v>8</v>
      </c>
      <c r="V14" s="49">
        <v>6</v>
      </c>
      <c r="W14" s="49">
        <v>6</v>
      </c>
      <c r="X14" s="49">
        <v>14</v>
      </c>
      <c r="Y14" s="49">
        <v>7</v>
      </c>
      <c r="Z14" s="49">
        <v>8</v>
      </c>
      <c r="AA14" s="49">
        <v>11</v>
      </c>
      <c r="AB14" s="49">
        <v>11</v>
      </c>
      <c r="AC14" s="49">
        <v>10</v>
      </c>
      <c r="AD14" s="49">
        <v>5</v>
      </c>
      <c r="AE14" s="49">
        <v>13</v>
      </c>
      <c r="AF14" s="49">
        <v>9</v>
      </c>
      <c r="AG14" s="49">
        <v>7</v>
      </c>
      <c r="AH14" s="49">
        <v>4</v>
      </c>
      <c r="AI14" s="49">
        <v>3</v>
      </c>
      <c r="AJ14" s="49">
        <v>5</v>
      </c>
      <c r="AK14" s="68">
        <v>245</v>
      </c>
      <c r="AL14" s="68">
        <v>0.021806853582554516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49"/>
      <c r="BE14" s="49"/>
    </row>
    <row r="15" spans="1:57" s="48" customFormat="1" ht="15">
      <c r="A15" s="2"/>
      <c r="B15" s="47">
        <v>10</v>
      </c>
      <c r="C15" s="47">
        <v>27</v>
      </c>
      <c r="D15" s="47">
        <v>24</v>
      </c>
      <c r="E15" s="47">
        <v>19</v>
      </c>
      <c r="F15" s="47">
        <v>26</v>
      </c>
      <c r="G15" s="47">
        <v>12</v>
      </c>
      <c r="H15" s="47">
        <v>17</v>
      </c>
      <c r="I15" s="47">
        <v>23</v>
      </c>
      <c r="J15" s="47">
        <v>15</v>
      </c>
      <c r="K15" s="47">
        <v>18</v>
      </c>
      <c r="L15" s="47">
        <v>22</v>
      </c>
      <c r="M15" s="47">
        <v>28</v>
      </c>
      <c r="N15" s="47">
        <v>28</v>
      </c>
      <c r="O15" s="47">
        <v>38</v>
      </c>
      <c r="P15" s="47">
        <v>37</v>
      </c>
      <c r="Q15" s="47">
        <v>35</v>
      </c>
      <c r="R15" s="47">
        <v>31</v>
      </c>
      <c r="S15" s="47">
        <v>32</v>
      </c>
      <c r="T15" s="47">
        <v>32</v>
      </c>
      <c r="U15" s="47">
        <v>29</v>
      </c>
      <c r="V15" s="47">
        <v>16</v>
      </c>
      <c r="W15" s="47">
        <v>32</v>
      </c>
      <c r="X15" s="47">
        <v>44</v>
      </c>
      <c r="Y15" s="47">
        <v>36</v>
      </c>
      <c r="Z15" s="47">
        <v>32</v>
      </c>
      <c r="AA15" s="47">
        <v>27</v>
      </c>
      <c r="AB15" s="47">
        <v>40</v>
      </c>
      <c r="AC15" s="47">
        <v>33</v>
      </c>
      <c r="AD15" s="47">
        <v>31</v>
      </c>
      <c r="AE15" s="47">
        <v>34</v>
      </c>
      <c r="AF15" s="47">
        <v>21</v>
      </c>
      <c r="AG15" s="47">
        <v>39</v>
      </c>
      <c r="AH15" s="47">
        <v>20</v>
      </c>
      <c r="AI15" s="47">
        <v>10</v>
      </c>
      <c r="AJ15" s="47">
        <v>20</v>
      </c>
      <c r="AK15" s="69">
        <v>938</v>
      </c>
      <c r="AL15" s="69">
        <v>0.08348909657320873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47"/>
      <c r="BE15" s="47"/>
    </row>
    <row r="16" spans="37:55" ht="15"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</row>
    <row r="17" spans="1:55" ht="15">
      <c r="A17" s="53" t="s">
        <v>503</v>
      </c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7" ht="15">
      <c r="A18" s="97" t="s">
        <v>502</v>
      </c>
      <c r="B18" s="45">
        <v>24</v>
      </c>
      <c r="C18" s="45">
        <v>21</v>
      </c>
      <c r="D18" s="45">
        <v>27</v>
      </c>
      <c r="E18" s="45">
        <v>39</v>
      </c>
      <c r="F18" s="45">
        <v>35</v>
      </c>
      <c r="G18" s="45">
        <v>21</v>
      </c>
      <c r="H18" s="45">
        <v>26</v>
      </c>
      <c r="I18" s="45">
        <v>19</v>
      </c>
      <c r="J18" s="45">
        <v>76</v>
      </c>
      <c r="K18" s="45">
        <v>44</v>
      </c>
      <c r="L18" s="45">
        <v>39</v>
      </c>
      <c r="M18" s="45">
        <v>34</v>
      </c>
      <c r="N18" s="45">
        <v>47</v>
      </c>
      <c r="O18" s="45">
        <v>36</v>
      </c>
      <c r="P18" s="45">
        <v>28</v>
      </c>
      <c r="Q18" s="45">
        <v>42</v>
      </c>
      <c r="R18" s="45">
        <v>40</v>
      </c>
      <c r="S18" s="45">
        <v>24</v>
      </c>
      <c r="T18" s="45">
        <v>33</v>
      </c>
      <c r="U18" s="45">
        <v>33</v>
      </c>
      <c r="V18" s="45">
        <v>25</v>
      </c>
      <c r="W18" s="45">
        <v>19</v>
      </c>
      <c r="X18" s="45">
        <v>29</v>
      </c>
      <c r="Y18" s="45">
        <v>25</v>
      </c>
      <c r="Z18" s="45">
        <v>36</v>
      </c>
      <c r="AA18" s="45">
        <v>28</v>
      </c>
      <c r="AB18" s="45">
        <v>20</v>
      </c>
      <c r="AC18" s="45">
        <v>23</v>
      </c>
      <c r="AD18" s="45">
        <v>19</v>
      </c>
      <c r="AE18" s="45">
        <v>32</v>
      </c>
      <c r="AF18" s="45">
        <v>20</v>
      </c>
      <c r="AG18" s="45">
        <v>26</v>
      </c>
      <c r="AH18" s="45">
        <v>26</v>
      </c>
      <c r="AI18" s="45">
        <v>16</v>
      </c>
      <c r="AJ18" s="45">
        <v>20</v>
      </c>
      <c r="AK18" s="67">
        <v>1052</v>
      </c>
      <c r="AL18" s="67">
        <v>0.09363595905651981</v>
      </c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45"/>
      <c r="BE18" s="45"/>
    </row>
    <row r="19" spans="1:57" ht="15">
      <c r="A19" s="97" t="s">
        <v>533</v>
      </c>
      <c r="B19" s="45">
        <v>3</v>
      </c>
      <c r="C19" s="45">
        <v>5</v>
      </c>
      <c r="D19" s="45">
        <v>1</v>
      </c>
      <c r="E19" s="45">
        <v>7</v>
      </c>
      <c r="F19" s="45">
        <v>2</v>
      </c>
      <c r="G19" s="45">
        <v>2</v>
      </c>
      <c r="H19" s="45">
        <v>2</v>
      </c>
      <c r="I19" s="45">
        <v>2</v>
      </c>
      <c r="J19" s="45">
        <v>7</v>
      </c>
      <c r="K19" s="45">
        <v>5</v>
      </c>
      <c r="L19" s="45">
        <v>1</v>
      </c>
      <c r="M19" s="45">
        <v>6</v>
      </c>
      <c r="N19" s="45">
        <v>4</v>
      </c>
      <c r="O19" s="45">
        <v>3</v>
      </c>
      <c r="P19" s="45">
        <v>3</v>
      </c>
      <c r="Q19" s="45">
        <v>5</v>
      </c>
      <c r="R19" s="45">
        <v>3</v>
      </c>
      <c r="S19" s="45">
        <v>0</v>
      </c>
      <c r="T19" s="45">
        <v>3</v>
      </c>
      <c r="U19" s="45">
        <v>6</v>
      </c>
      <c r="V19" s="45">
        <v>4</v>
      </c>
      <c r="W19" s="45">
        <v>5</v>
      </c>
      <c r="X19" s="45">
        <v>2</v>
      </c>
      <c r="Y19" s="45">
        <v>2</v>
      </c>
      <c r="Z19" s="45">
        <v>6</v>
      </c>
      <c r="AA19" s="45">
        <v>0</v>
      </c>
      <c r="AB19" s="45">
        <v>5</v>
      </c>
      <c r="AC19" s="45">
        <v>4</v>
      </c>
      <c r="AD19" s="45">
        <v>4</v>
      </c>
      <c r="AE19" s="45">
        <v>4</v>
      </c>
      <c r="AF19" s="45">
        <v>3</v>
      </c>
      <c r="AG19" s="45">
        <v>1</v>
      </c>
      <c r="AH19" s="45">
        <v>1</v>
      </c>
      <c r="AI19" s="45">
        <v>1</v>
      </c>
      <c r="AJ19" s="45">
        <v>1</v>
      </c>
      <c r="AK19" s="67">
        <v>113</v>
      </c>
      <c r="AL19" s="67">
        <v>0.010057854917668002</v>
      </c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45"/>
      <c r="BE19" s="45"/>
    </row>
    <row r="20" spans="1:57" ht="15">
      <c r="A20" s="97" t="s">
        <v>534</v>
      </c>
      <c r="B20" s="45">
        <v>2</v>
      </c>
      <c r="C20" s="45">
        <v>8</v>
      </c>
      <c r="D20" s="45">
        <v>5</v>
      </c>
      <c r="E20" s="45">
        <v>3</v>
      </c>
      <c r="F20" s="45">
        <v>4</v>
      </c>
      <c r="G20" s="45">
        <v>9</v>
      </c>
      <c r="H20" s="45">
        <v>6</v>
      </c>
      <c r="I20" s="45">
        <v>1</v>
      </c>
      <c r="J20" s="45">
        <v>5</v>
      </c>
      <c r="K20" s="45">
        <v>6</v>
      </c>
      <c r="L20" s="45">
        <v>14</v>
      </c>
      <c r="M20" s="45">
        <v>9</v>
      </c>
      <c r="N20" s="45">
        <v>11</v>
      </c>
      <c r="O20" s="45">
        <v>9</v>
      </c>
      <c r="P20" s="45">
        <v>13</v>
      </c>
      <c r="Q20" s="45">
        <v>13</v>
      </c>
      <c r="R20" s="45">
        <v>12</v>
      </c>
      <c r="S20" s="45">
        <v>7</v>
      </c>
      <c r="T20" s="45">
        <v>16</v>
      </c>
      <c r="U20" s="45">
        <v>4</v>
      </c>
      <c r="V20" s="45">
        <v>15</v>
      </c>
      <c r="W20" s="45">
        <v>4</v>
      </c>
      <c r="X20" s="45">
        <v>11</v>
      </c>
      <c r="Y20" s="45">
        <v>15</v>
      </c>
      <c r="Z20" s="45">
        <v>8</v>
      </c>
      <c r="AA20" s="45">
        <v>7</v>
      </c>
      <c r="AB20" s="45">
        <v>5</v>
      </c>
      <c r="AC20" s="45">
        <v>3</v>
      </c>
      <c r="AD20" s="45">
        <v>11</v>
      </c>
      <c r="AE20" s="45">
        <v>9</v>
      </c>
      <c r="AF20" s="45">
        <v>13</v>
      </c>
      <c r="AG20" s="45">
        <v>5</v>
      </c>
      <c r="AH20" s="45">
        <v>13</v>
      </c>
      <c r="AI20" s="45">
        <v>7</v>
      </c>
      <c r="AJ20" s="45">
        <v>8</v>
      </c>
      <c r="AK20" s="67">
        <v>291</v>
      </c>
      <c r="AL20" s="67">
        <v>0.02590120160213618</v>
      </c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5"/>
      <c r="BE20" s="45"/>
    </row>
    <row r="21" spans="1:57" s="50" customFormat="1" ht="15">
      <c r="A21" s="4" t="s">
        <v>499</v>
      </c>
      <c r="B21" s="49">
        <v>12</v>
      </c>
      <c r="C21" s="49">
        <v>18</v>
      </c>
      <c r="D21" s="49">
        <v>48</v>
      </c>
      <c r="E21" s="49">
        <v>17</v>
      </c>
      <c r="F21" s="49">
        <v>24</v>
      </c>
      <c r="G21" s="49">
        <v>20</v>
      </c>
      <c r="H21" s="49">
        <v>15</v>
      </c>
      <c r="I21" s="49">
        <v>14</v>
      </c>
      <c r="J21" s="49">
        <v>16</v>
      </c>
      <c r="K21" s="49">
        <v>21</v>
      </c>
      <c r="L21" s="49">
        <v>28</v>
      </c>
      <c r="M21" s="49">
        <v>29</v>
      </c>
      <c r="N21" s="49">
        <v>39</v>
      </c>
      <c r="O21" s="49">
        <v>50</v>
      </c>
      <c r="P21" s="49">
        <v>28</v>
      </c>
      <c r="Q21" s="49">
        <v>36</v>
      </c>
      <c r="R21" s="49">
        <v>30</v>
      </c>
      <c r="S21" s="49">
        <v>27</v>
      </c>
      <c r="T21" s="49">
        <v>26</v>
      </c>
      <c r="U21" s="49">
        <v>33</v>
      </c>
      <c r="V21" s="49">
        <v>36</v>
      </c>
      <c r="W21" s="49">
        <v>32</v>
      </c>
      <c r="X21" s="49">
        <v>35</v>
      </c>
      <c r="Y21" s="49">
        <v>32</v>
      </c>
      <c r="Z21" s="49">
        <v>41</v>
      </c>
      <c r="AA21" s="49">
        <v>39</v>
      </c>
      <c r="AB21" s="49">
        <v>41</v>
      </c>
      <c r="AC21" s="49">
        <v>35</v>
      </c>
      <c r="AD21" s="49">
        <v>39</v>
      </c>
      <c r="AE21" s="49">
        <v>39</v>
      </c>
      <c r="AF21" s="49">
        <v>34</v>
      </c>
      <c r="AG21" s="49">
        <v>32</v>
      </c>
      <c r="AH21" s="49">
        <v>26</v>
      </c>
      <c r="AI21" s="49">
        <v>38</v>
      </c>
      <c r="AJ21" s="49">
        <v>19</v>
      </c>
      <c r="AK21" s="68">
        <v>1049</v>
      </c>
      <c r="AL21" s="68">
        <v>0.09336893635959057</v>
      </c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49"/>
      <c r="BE21" s="49"/>
    </row>
    <row r="22" spans="1:57" s="48" customFormat="1" ht="15">
      <c r="A22" s="2"/>
      <c r="B22" s="47">
        <v>41</v>
      </c>
      <c r="C22" s="47">
        <v>52</v>
      </c>
      <c r="D22" s="47">
        <v>81</v>
      </c>
      <c r="E22" s="47">
        <v>66</v>
      </c>
      <c r="F22" s="47">
        <v>65</v>
      </c>
      <c r="G22" s="47">
        <v>52</v>
      </c>
      <c r="H22" s="47">
        <v>49</v>
      </c>
      <c r="I22" s="47">
        <v>36</v>
      </c>
      <c r="J22" s="47">
        <v>104</v>
      </c>
      <c r="K22" s="47">
        <v>76</v>
      </c>
      <c r="L22" s="47">
        <v>82</v>
      </c>
      <c r="M22" s="47">
        <v>78</v>
      </c>
      <c r="N22" s="47">
        <v>101</v>
      </c>
      <c r="O22" s="47">
        <v>98</v>
      </c>
      <c r="P22" s="47">
        <v>72</v>
      </c>
      <c r="Q22" s="47">
        <v>96</v>
      </c>
      <c r="R22" s="47">
        <v>85</v>
      </c>
      <c r="S22" s="47">
        <v>58</v>
      </c>
      <c r="T22" s="47">
        <v>78</v>
      </c>
      <c r="U22" s="47">
        <v>76</v>
      </c>
      <c r="V22" s="47">
        <v>80</v>
      </c>
      <c r="W22" s="47">
        <v>60</v>
      </c>
      <c r="X22" s="47">
        <v>77</v>
      </c>
      <c r="Y22" s="47">
        <v>74</v>
      </c>
      <c r="Z22" s="47">
        <v>91</v>
      </c>
      <c r="AA22" s="47">
        <v>74</v>
      </c>
      <c r="AB22" s="47">
        <v>71</v>
      </c>
      <c r="AC22" s="47">
        <v>65</v>
      </c>
      <c r="AD22" s="47">
        <v>73</v>
      </c>
      <c r="AE22" s="47">
        <v>84</v>
      </c>
      <c r="AF22" s="47">
        <v>70</v>
      </c>
      <c r="AG22" s="47">
        <v>64</v>
      </c>
      <c r="AH22" s="47">
        <v>66</v>
      </c>
      <c r="AI22" s="47">
        <v>62</v>
      </c>
      <c r="AJ22" s="47">
        <v>48</v>
      </c>
      <c r="AK22" s="69">
        <v>2505</v>
      </c>
      <c r="AL22" s="69">
        <v>0.22296395193591456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47"/>
      <c r="BE22" s="47"/>
    </row>
    <row r="23" spans="37:55" ht="15"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ht="15">
      <c r="A24" s="53" t="s">
        <v>536</v>
      </c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7" ht="15">
      <c r="A25" s="97" t="s">
        <v>502</v>
      </c>
      <c r="B25" s="45">
        <v>32</v>
      </c>
      <c r="C25" s="45">
        <v>22</v>
      </c>
      <c r="D25" s="45">
        <v>32</v>
      </c>
      <c r="E25" s="45">
        <v>19</v>
      </c>
      <c r="F25" s="45">
        <v>19</v>
      </c>
      <c r="G25" s="45">
        <v>32</v>
      </c>
      <c r="H25" s="45">
        <v>25</v>
      </c>
      <c r="I25" s="45">
        <v>25</v>
      </c>
      <c r="J25" s="45">
        <v>31</v>
      </c>
      <c r="K25" s="45">
        <v>17</v>
      </c>
      <c r="L25" s="45">
        <v>24</v>
      </c>
      <c r="M25" s="45">
        <v>26</v>
      </c>
      <c r="N25" s="45">
        <v>20</v>
      </c>
      <c r="O25" s="45">
        <v>27</v>
      </c>
      <c r="P25" s="45">
        <v>29</v>
      </c>
      <c r="Q25" s="45">
        <v>27</v>
      </c>
      <c r="R25" s="45">
        <v>23</v>
      </c>
      <c r="S25" s="45">
        <v>20</v>
      </c>
      <c r="T25" s="45">
        <v>30</v>
      </c>
      <c r="U25" s="45">
        <v>16</v>
      </c>
      <c r="V25" s="45">
        <v>29</v>
      </c>
      <c r="W25" s="45">
        <v>26</v>
      </c>
      <c r="X25" s="45">
        <v>22</v>
      </c>
      <c r="Y25" s="45">
        <v>20</v>
      </c>
      <c r="Z25" s="45">
        <v>20</v>
      </c>
      <c r="AA25" s="45">
        <v>23</v>
      </c>
      <c r="AB25" s="45">
        <v>17</v>
      </c>
      <c r="AC25" s="45">
        <v>19</v>
      </c>
      <c r="AD25" s="45">
        <v>26</v>
      </c>
      <c r="AE25" s="45">
        <v>10</v>
      </c>
      <c r="AF25" s="45">
        <v>17</v>
      </c>
      <c r="AG25" s="45">
        <v>17</v>
      </c>
      <c r="AH25" s="45">
        <v>17</v>
      </c>
      <c r="AI25" s="45">
        <v>15</v>
      </c>
      <c r="AJ25" s="45">
        <v>20</v>
      </c>
      <c r="AK25" s="67">
        <v>794</v>
      </c>
      <c r="AL25" s="67">
        <v>0.07067200712060526</v>
      </c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45"/>
      <c r="BE25" s="45"/>
    </row>
    <row r="26" spans="1:57" ht="15">
      <c r="A26" s="97" t="s">
        <v>533</v>
      </c>
      <c r="B26" s="45">
        <v>10</v>
      </c>
      <c r="C26" s="45">
        <v>6</v>
      </c>
      <c r="D26" s="45">
        <v>6</v>
      </c>
      <c r="E26" s="45">
        <v>12</v>
      </c>
      <c r="F26" s="45">
        <v>5</v>
      </c>
      <c r="G26" s="45">
        <v>7</v>
      </c>
      <c r="H26" s="45">
        <v>7</v>
      </c>
      <c r="I26" s="45">
        <v>10</v>
      </c>
      <c r="J26" s="45">
        <v>6</v>
      </c>
      <c r="K26" s="45">
        <v>7</v>
      </c>
      <c r="L26" s="45">
        <v>17</v>
      </c>
      <c r="M26" s="45">
        <v>12</v>
      </c>
      <c r="N26" s="45">
        <v>20</v>
      </c>
      <c r="O26" s="45">
        <v>13</v>
      </c>
      <c r="P26" s="45">
        <v>12</v>
      </c>
      <c r="Q26" s="45">
        <v>16</v>
      </c>
      <c r="R26" s="45">
        <v>8</v>
      </c>
      <c r="S26" s="45">
        <v>8</v>
      </c>
      <c r="T26" s="45">
        <v>9</v>
      </c>
      <c r="U26" s="45">
        <v>5</v>
      </c>
      <c r="V26" s="45">
        <v>17</v>
      </c>
      <c r="W26" s="45">
        <v>9</v>
      </c>
      <c r="X26" s="45">
        <v>9</v>
      </c>
      <c r="Y26" s="45">
        <v>14</v>
      </c>
      <c r="Z26" s="45">
        <v>14</v>
      </c>
      <c r="AA26" s="45">
        <v>12</v>
      </c>
      <c r="AB26" s="45">
        <v>6</v>
      </c>
      <c r="AC26" s="45">
        <v>7</v>
      </c>
      <c r="AD26" s="45">
        <v>18</v>
      </c>
      <c r="AE26" s="45">
        <v>9</v>
      </c>
      <c r="AF26" s="45">
        <v>7</v>
      </c>
      <c r="AG26" s="45">
        <v>17</v>
      </c>
      <c r="AH26" s="45">
        <v>2</v>
      </c>
      <c r="AI26" s="45">
        <v>11</v>
      </c>
      <c r="AJ26" s="45">
        <v>10</v>
      </c>
      <c r="AK26" s="67">
        <v>358</v>
      </c>
      <c r="AL26" s="67">
        <v>0.03186470850022252</v>
      </c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45"/>
      <c r="BE26" s="45"/>
    </row>
    <row r="27" spans="1:57" ht="15">
      <c r="A27" s="97" t="s">
        <v>497</v>
      </c>
      <c r="B27" s="45">
        <v>2</v>
      </c>
      <c r="C27" s="45">
        <v>4</v>
      </c>
      <c r="D27" s="45">
        <v>3</v>
      </c>
      <c r="E27" s="45">
        <v>4</v>
      </c>
      <c r="F27" s="45">
        <v>4</v>
      </c>
      <c r="G27" s="45">
        <v>1</v>
      </c>
      <c r="H27" s="45">
        <v>5</v>
      </c>
      <c r="I27" s="45">
        <v>4</v>
      </c>
      <c r="J27" s="45">
        <v>7</v>
      </c>
      <c r="K27" s="45">
        <v>6</v>
      </c>
      <c r="L27" s="45">
        <v>3</v>
      </c>
      <c r="M27" s="45">
        <v>6</v>
      </c>
      <c r="N27" s="45">
        <v>10</v>
      </c>
      <c r="O27" s="45">
        <v>8</v>
      </c>
      <c r="P27" s="45">
        <v>4</v>
      </c>
      <c r="Q27" s="45">
        <v>9</v>
      </c>
      <c r="R27" s="45">
        <v>8</v>
      </c>
      <c r="S27" s="45">
        <v>6</v>
      </c>
      <c r="T27" s="45">
        <v>2</v>
      </c>
      <c r="U27" s="45">
        <v>4</v>
      </c>
      <c r="V27" s="45">
        <v>6</v>
      </c>
      <c r="W27" s="45">
        <v>7</v>
      </c>
      <c r="X27" s="45">
        <v>8</v>
      </c>
      <c r="Y27" s="45">
        <v>5</v>
      </c>
      <c r="Z27" s="45">
        <v>5</v>
      </c>
      <c r="AA27" s="45">
        <v>4</v>
      </c>
      <c r="AB27" s="45">
        <v>8</v>
      </c>
      <c r="AC27" s="45">
        <v>6</v>
      </c>
      <c r="AD27" s="45">
        <v>3</v>
      </c>
      <c r="AE27" s="45">
        <v>7</v>
      </c>
      <c r="AF27" s="45">
        <v>7</v>
      </c>
      <c r="AG27" s="45">
        <v>5</v>
      </c>
      <c r="AH27" s="45">
        <v>4</v>
      </c>
      <c r="AI27" s="45">
        <v>4</v>
      </c>
      <c r="AJ27" s="45">
        <v>4</v>
      </c>
      <c r="AK27" s="67">
        <v>183</v>
      </c>
      <c r="AL27" s="67">
        <v>0.01628838451268358</v>
      </c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45"/>
      <c r="BE27" s="45"/>
    </row>
    <row r="28" spans="1:57" s="50" customFormat="1" ht="15">
      <c r="A28" s="4" t="s">
        <v>499</v>
      </c>
      <c r="B28" s="49">
        <v>5</v>
      </c>
      <c r="C28" s="49">
        <v>8</v>
      </c>
      <c r="D28" s="49">
        <v>18</v>
      </c>
      <c r="E28" s="49">
        <v>12</v>
      </c>
      <c r="F28" s="49">
        <v>7</v>
      </c>
      <c r="G28" s="49">
        <v>6</v>
      </c>
      <c r="H28" s="49">
        <v>12</v>
      </c>
      <c r="I28" s="49">
        <v>4</v>
      </c>
      <c r="J28" s="49">
        <v>10</v>
      </c>
      <c r="K28" s="49">
        <v>10</v>
      </c>
      <c r="L28" s="49">
        <v>14</v>
      </c>
      <c r="M28" s="49">
        <v>12</v>
      </c>
      <c r="N28" s="49">
        <v>16</v>
      </c>
      <c r="O28" s="49">
        <v>32</v>
      </c>
      <c r="P28" s="49">
        <v>13</v>
      </c>
      <c r="Q28" s="49">
        <v>13</v>
      </c>
      <c r="R28" s="49">
        <v>13</v>
      </c>
      <c r="S28" s="49">
        <v>14</v>
      </c>
      <c r="T28" s="49">
        <v>15</v>
      </c>
      <c r="U28" s="49">
        <v>11</v>
      </c>
      <c r="V28" s="49">
        <v>21</v>
      </c>
      <c r="W28" s="49">
        <v>14</v>
      </c>
      <c r="X28" s="49">
        <v>14</v>
      </c>
      <c r="Y28" s="49">
        <v>15</v>
      </c>
      <c r="Z28" s="49">
        <v>14</v>
      </c>
      <c r="AA28" s="49">
        <v>14</v>
      </c>
      <c r="AB28" s="49">
        <v>12</v>
      </c>
      <c r="AC28" s="49">
        <v>16</v>
      </c>
      <c r="AD28" s="49">
        <v>24</v>
      </c>
      <c r="AE28" s="49">
        <v>13</v>
      </c>
      <c r="AF28" s="49">
        <v>12</v>
      </c>
      <c r="AG28" s="49">
        <v>16</v>
      </c>
      <c r="AH28" s="49">
        <v>15</v>
      </c>
      <c r="AI28" s="49">
        <v>21</v>
      </c>
      <c r="AJ28" s="49">
        <v>5</v>
      </c>
      <c r="AK28" s="68">
        <v>471</v>
      </c>
      <c r="AL28" s="68">
        <v>0.041922563417890524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49"/>
      <c r="BE28" s="49"/>
    </row>
    <row r="29" spans="1:57" s="48" customFormat="1" ht="15">
      <c r="A29" s="2"/>
      <c r="B29" s="47">
        <v>49</v>
      </c>
      <c r="C29" s="47">
        <v>40</v>
      </c>
      <c r="D29" s="47">
        <v>59</v>
      </c>
      <c r="E29" s="47">
        <v>47</v>
      </c>
      <c r="F29" s="47">
        <v>35</v>
      </c>
      <c r="G29" s="47">
        <v>46</v>
      </c>
      <c r="H29" s="47">
        <v>49</v>
      </c>
      <c r="I29" s="47">
        <v>43</v>
      </c>
      <c r="J29" s="47">
        <v>54</v>
      </c>
      <c r="K29" s="47">
        <v>40</v>
      </c>
      <c r="L29" s="47">
        <v>58</v>
      </c>
      <c r="M29" s="47">
        <v>56</v>
      </c>
      <c r="N29" s="47">
        <v>66</v>
      </c>
      <c r="O29" s="47">
        <v>80</v>
      </c>
      <c r="P29" s="47">
        <v>58</v>
      </c>
      <c r="Q29" s="47">
        <v>65</v>
      </c>
      <c r="R29" s="47">
        <v>52</v>
      </c>
      <c r="S29" s="47">
        <v>48</v>
      </c>
      <c r="T29" s="47">
        <v>56</v>
      </c>
      <c r="U29" s="47">
        <v>36</v>
      </c>
      <c r="V29" s="47">
        <v>73</v>
      </c>
      <c r="W29" s="47">
        <v>56</v>
      </c>
      <c r="X29" s="47">
        <v>53</v>
      </c>
      <c r="Y29" s="47">
        <v>54</v>
      </c>
      <c r="Z29" s="47">
        <v>53</v>
      </c>
      <c r="AA29" s="47">
        <v>53</v>
      </c>
      <c r="AB29" s="47">
        <v>43</v>
      </c>
      <c r="AC29" s="47">
        <v>48</v>
      </c>
      <c r="AD29" s="47">
        <v>71</v>
      </c>
      <c r="AE29" s="47">
        <v>39</v>
      </c>
      <c r="AF29" s="47">
        <v>43</v>
      </c>
      <c r="AG29" s="47">
        <v>55</v>
      </c>
      <c r="AH29" s="47">
        <v>38</v>
      </c>
      <c r="AI29" s="47">
        <v>51</v>
      </c>
      <c r="AJ29" s="47">
        <v>39</v>
      </c>
      <c r="AK29" s="69">
        <v>1806</v>
      </c>
      <c r="AL29" s="69">
        <v>0.16074766355140188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47"/>
      <c r="BE29" s="47"/>
    </row>
    <row r="30" spans="37:55" ht="15"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15">
      <c r="A31" s="53" t="s">
        <v>505</v>
      </c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</row>
    <row r="32" spans="1:57" ht="15">
      <c r="A32" s="97" t="s">
        <v>502</v>
      </c>
      <c r="B32" s="45">
        <v>32</v>
      </c>
      <c r="C32" s="45">
        <v>17</v>
      </c>
      <c r="D32" s="45">
        <v>21</v>
      </c>
      <c r="E32" s="45">
        <v>33</v>
      </c>
      <c r="F32" s="45">
        <v>33</v>
      </c>
      <c r="G32" s="45">
        <v>34</v>
      </c>
      <c r="H32" s="45">
        <v>31</v>
      </c>
      <c r="I32" s="45">
        <v>49</v>
      </c>
      <c r="J32" s="45">
        <v>35</v>
      </c>
      <c r="K32" s="45">
        <v>27</v>
      </c>
      <c r="L32" s="45">
        <v>18</v>
      </c>
      <c r="M32" s="45">
        <v>25</v>
      </c>
      <c r="N32" s="45">
        <v>22</v>
      </c>
      <c r="O32" s="45">
        <v>30</v>
      </c>
      <c r="P32" s="45">
        <v>18</v>
      </c>
      <c r="Q32" s="45">
        <v>28</v>
      </c>
      <c r="R32" s="45">
        <v>38</v>
      </c>
      <c r="S32" s="45">
        <v>17</v>
      </c>
      <c r="T32" s="45">
        <v>21</v>
      </c>
      <c r="U32" s="45">
        <v>19</v>
      </c>
      <c r="V32" s="45">
        <v>17</v>
      </c>
      <c r="W32" s="45">
        <v>23</v>
      </c>
      <c r="X32" s="45">
        <v>18</v>
      </c>
      <c r="Y32" s="45">
        <v>25</v>
      </c>
      <c r="Z32" s="45">
        <v>16</v>
      </c>
      <c r="AA32" s="45">
        <v>22</v>
      </c>
      <c r="AB32" s="45">
        <v>19</v>
      </c>
      <c r="AC32" s="45">
        <v>28</v>
      </c>
      <c r="AD32" s="45">
        <v>22</v>
      </c>
      <c r="AE32" s="45">
        <v>25</v>
      </c>
      <c r="AF32" s="45">
        <v>32</v>
      </c>
      <c r="AG32" s="45">
        <v>28</v>
      </c>
      <c r="AH32" s="45">
        <v>33</v>
      </c>
      <c r="AI32" s="45">
        <v>25</v>
      </c>
      <c r="AJ32" s="45">
        <v>22</v>
      </c>
      <c r="AK32" s="67">
        <v>903</v>
      </c>
      <c r="AL32" s="67">
        <v>0.08037383177570094</v>
      </c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45"/>
      <c r="BE32" s="45"/>
    </row>
    <row r="33" spans="1:57" ht="15">
      <c r="A33" s="97" t="s">
        <v>533</v>
      </c>
      <c r="B33" s="45">
        <v>4</v>
      </c>
      <c r="C33" s="45">
        <v>3</v>
      </c>
      <c r="D33" s="45">
        <v>3</v>
      </c>
      <c r="E33" s="45">
        <v>5</v>
      </c>
      <c r="F33" s="45">
        <v>2</v>
      </c>
      <c r="G33" s="45">
        <v>5</v>
      </c>
      <c r="H33" s="45">
        <v>7</v>
      </c>
      <c r="I33" s="45">
        <v>4</v>
      </c>
      <c r="J33" s="45">
        <v>2</v>
      </c>
      <c r="K33" s="45">
        <v>5</v>
      </c>
      <c r="L33" s="45">
        <v>6</v>
      </c>
      <c r="M33" s="45">
        <v>3</v>
      </c>
      <c r="N33" s="45">
        <v>5</v>
      </c>
      <c r="O33" s="45">
        <v>2</v>
      </c>
      <c r="P33" s="45">
        <v>1</v>
      </c>
      <c r="Q33" s="45">
        <v>5</v>
      </c>
      <c r="R33" s="45">
        <v>5</v>
      </c>
      <c r="S33" s="45">
        <v>0</v>
      </c>
      <c r="T33" s="45">
        <v>8</v>
      </c>
      <c r="U33" s="45">
        <v>2</v>
      </c>
      <c r="V33" s="45">
        <v>5</v>
      </c>
      <c r="W33" s="45">
        <v>2</v>
      </c>
      <c r="X33" s="45">
        <v>6</v>
      </c>
      <c r="Y33" s="45">
        <v>4</v>
      </c>
      <c r="Z33" s="45">
        <v>8</v>
      </c>
      <c r="AA33" s="45">
        <v>0</v>
      </c>
      <c r="AB33" s="45">
        <v>7</v>
      </c>
      <c r="AC33" s="45">
        <v>6</v>
      </c>
      <c r="AD33" s="45">
        <v>3</v>
      </c>
      <c r="AE33" s="45">
        <v>6</v>
      </c>
      <c r="AF33" s="45">
        <v>7</v>
      </c>
      <c r="AG33" s="45">
        <v>3</v>
      </c>
      <c r="AH33" s="45">
        <v>6</v>
      </c>
      <c r="AI33" s="45">
        <v>4</v>
      </c>
      <c r="AJ33" s="45">
        <v>7</v>
      </c>
      <c r="AK33" s="67">
        <v>151</v>
      </c>
      <c r="AL33" s="67">
        <v>0.01344014241210503</v>
      </c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45"/>
      <c r="BE33" s="45"/>
    </row>
    <row r="34" spans="1:57" ht="15">
      <c r="A34" s="97" t="s">
        <v>497</v>
      </c>
      <c r="B34" s="45">
        <v>23</v>
      </c>
      <c r="C34" s="45">
        <v>16</v>
      </c>
      <c r="D34" s="45">
        <v>24</v>
      </c>
      <c r="E34" s="45">
        <v>14</v>
      </c>
      <c r="F34" s="45">
        <v>15</v>
      </c>
      <c r="G34" s="45">
        <v>17</v>
      </c>
      <c r="H34" s="45">
        <v>32</v>
      </c>
      <c r="I34" s="45">
        <v>21</v>
      </c>
      <c r="J34" s="45">
        <v>26</v>
      </c>
      <c r="K34" s="45">
        <v>33</v>
      </c>
      <c r="L34" s="45">
        <v>25</v>
      </c>
      <c r="M34" s="45">
        <v>19</v>
      </c>
      <c r="N34" s="45">
        <v>23</v>
      </c>
      <c r="O34" s="45">
        <v>16</v>
      </c>
      <c r="P34" s="45">
        <v>18</v>
      </c>
      <c r="Q34" s="45">
        <v>16</v>
      </c>
      <c r="R34" s="45">
        <v>22</v>
      </c>
      <c r="S34" s="45">
        <v>28</v>
      </c>
      <c r="T34" s="45">
        <v>19</v>
      </c>
      <c r="U34" s="45">
        <v>19</v>
      </c>
      <c r="V34" s="45">
        <v>19</v>
      </c>
      <c r="W34" s="45">
        <v>14</v>
      </c>
      <c r="X34" s="45">
        <v>25</v>
      </c>
      <c r="Y34" s="45">
        <v>15</v>
      </c>
      <c r="Z34" s="45">
        <v>15</v>
      </c>
      <c r="AA34" s="45">
        <v>17</v>
      </c>
      <c r="AB34" s="45">
        <v>21</v>
      </c>
      <c r="AC34" s="45">
        <v>27</v>
      </c>
      <c r="AD34" s="45">
        <v>24</v>
      </c>
      <c r="AE34" s="45">
        <v>26</v>
      </c>
      <c r="AF34" s="45">
        <v>38</v>
      </c>
      <c r="AG34" s="45">
        <v>22</v>
      </c>
      <c r="AH34" s="45">
        <v>16</v>
      </c>
      <c r="AI34" s="45">
        <v>19</v>
      </c>
      <c r="AJ34" s="45">
        <v>23</v>
      </c>
      <c r="AK34" s="67">
        <v>747</v>
      </c>
      <c r="AL34" s="67">
        <v>0.06648865153538051</v>
      </c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45"/>
      <c r="BE34" s="45"/>
    </row>
    <row r="35" spans="1:57" s="50" customFormat="1" ht="15">
      <c r="A35" s="4" t="s">
        <v>534</v>
      </c>
      <c r="B35" s="49">
        <v>4</v>
      </c>
      <c r="C35" s="49">
        <v>8</v>
      </c>
      <c r="D35" s="49">
        <v>5</v>
      </c>
      <c r="E35" s="49">
        <v>4</v>
      </c>
      <c r="F35" s="49">
        <v>5</v>
      </c>
      <c r="G35" s="49">
        <v>9</v>
      </c>
      <c r="H35" s="49">
        <v>16</v>
      </c>
      <c r="I35" s="49">
        <v>16</v>
      </c>
      <c r="J35" s="49">
        <v>16</v>
      </c>
      <c r="K35" s="49">
        <v>5</v>
      </c>
      <c r="L35" s="49">
        <v>6</v>
      </c>
      <c r="M35" s="49">
        <v>3</v>
      </c>
      <c r="N35" s="49">
        <v>7</v>
      </c>
      <c r="O35" s="49">
        <v>4</v>
      </c>
      <c r="P35" s="49">
        <v>6</v>
      </c>
      <c r="Q35" s="49">
        <v>7</v>
      </c>
      <c r="R35" s="49">
        <v>7</v>
      </c>
      <c r="S35" s="49">
        <v>9</v>
      </c>
      <c r="T35" s="49">
        <v>10</v>
      </c>
      <c r="U35" s="49">
        <v>8</v>
      </c>
      <c r="V35" s="49">
        <v>7</v>
      </c>
      <c r="W35" s="49">
        <v>4</v>
      </c>
      <c r="X35" s="49">
        <v>10</v>
      </c>
      <c r="Y35" s="49">
        <v>9</v>
      </c>
      <c r="Z35" s="49">
        <v>6</v>
      </c>
      <c r="AA35" s="49">
        <v>6</v>
      </c>
      <c r="AB35" s="49">
        <v>11</v>
      </c>
      <c r="AC35" s="49">
        <v>6</v>
      </c>
      <c r="AD35" s="49">
        <v>16</v>
      </c>
      <c r="AE35" s="49">
        <v>9</v>
      </c>
      <c r="AF35" s="49">
        <v>12</v>
      </c>
      <c r="AG35" s="49">
        <v>5</v>
      </c>
      <c r="AH35" s="49">
        <v>8</v>
      </c>
      <c r="AI35" s="49">
        <v>6</v>
      </c>
      <c r="AJ35" s="49">
        <v>8</v>
      </c>
      <c r="AK35" s="68">
        <v>278</v>
      </c>
      <c r="AL35" s="68">
        <v>0.024744103248776145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49"/>
      <c r="BE35" s="49"/>
    </row>
    <row r="36" spans="1:57" s="48" customFormat="1" ht="15">
      <c r="A36" s="2"/>
      <c r="B36" s="47">
        <v>63</v>
      </c>
      <c r="C36" s="47">
        <v>44</v>
      </c>
      <c r="D36" s="47">
        <v>53</v>
      </c>
      <c r="E36" s="47">
        <v>56</v>
      </c>
      <c r="F36" s="47">
        <v>55</v>
      </c>
      <c r="G36" s="47">
        <v>65</v>
      </c>
      <c r="H36" s="47">
        <v>86</v>
      </c>
      <c r="I36" s="47">
        <v>90</v>
      </c>
      <c r="J36" s="47">
        <v>79</v>
      </c>
      <c r="K36" s="47">
        <v>70</v>
      </c>
      <c r="L36" s="47">
        <v>55</v>
      </c>
      <c r="M36" s="47">
        <v>50</v>
      </c>
      <c r="N36" s="47">
        <v>57</v>
      </c>
      <c r="O36" s="47">
        <v>52</v>
      </c>
      <c r="P36" s="47">
        <v>43</v>
      </c>
      <c r="Q36" s="47">
        <v>56</v>
      </c>
      <c r="R36" s="47">
        <v>72</v>
      </c>
      <c r="S36" s="47">
        <v>54</v>
      </c>
      <c r="T36" s="47">
        <v>58</v>
      </c>
      <c r="U36" s="47">
        <v>48</v>
      </c>
      <c r="V36" s="47">
        <v>48</v>
      </c>
      <c r="W36" s="47">
        <v>43</v>
      </c>
      <c r="X36" s="47">
        <v>59</v>
      </c>
      <c r="Y36" s="47">
        <v>53</v>
      </c>
      <c r="Z36" s="47">
        <v>45</v>
      </c>
      <c r="AA36" s="47">
        <v>45</v>
      </c>
      <c r="AB36" s="47">
        <v>58</v>
      </c>
      <c r="AC36" s="47">
        <v>67</v>
      </c>
      <c r="AD36" s="47">
        <v>65</v>
      </c>
      <c r="AE36" s="47">
        <v>66</v>
      </c>
      <c r="AF36" s="47">
        <v>89</v>
      </c>
      <c r="AG36" s="47">
        <v>58</v>
      </c>
      <c r="AH36" s="47">
        <v>63</v>
      </c>
      <c r="AI36" s="47">
        <v>54</v>
      </c>
      <c r="AJ36" s="47">
        <v>60</v>
      </c>
      <c r="AK36" s="69">
        <v>2079</v>
      </c>
      <c r="AL36" s="69">
        <v>0.18504672897196262</v>
      </c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47"/>
      <c r="BE36" s="47"/>
    </row>
    <row r="37" spans="37:55" ht="15"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7" s="48" customFormat="1" ht="15">
      <c r="A38" s="53" t="s">
        <v>509</v>
      </c>
      <c r="B38" s="47">
        <v>205</v>
      </c>
      <c r="C38" s="47">
        <v>249</v>
      </c>
      <c r="D38" s="47">
        <v>331</v>
      </c>
      <c r="E38" s="47">
        <v>275</v>
      </c>
      <c r="F38" s="47">
        <v>267</v>
      </c>
      <c r="G38" s="47">
        <v>260</v>
      </c>
      <c r="H38" s="47">
        <v>335</v>
      </c>
      <c r="I38" s="47">
        <v>259</v>
      </c>
      <c r="J38" s="47">
        <v>370</v>
      </c>
      <c r="K38" s="47">
        <v>298</v>
      </c>
      <c r="L38" s="47">
        <v>320</v>
      </c>
      <c r="M38" s="47">
        <v>313</v>
      </c>
      <c r="N38" s="47">
        <v>375</v>
      </c>
      <c r="O38" s="47">
        <v>400</v>
      </c>
      <c r="P38" s="47">
        <v>387</v>
      </c>
      <c r="Q38" s="47">
        <v>370</v>
      </c>
      <c r="R38" s="47">
        <v>330</v>
      </c>
      <c r="S38" s="47">
        <v>298</v>
      </c>
      <c r="T38" s="47">
        <v>329</v>
      </c>
      <c r="U38" s="47">
        <v>311</v>
      </c>
      <c r="V38" s="47">
        <v>335</v>
      </c>
      <c r="W38" s="47">
        <v>301</v>
      </c>
      <c r="X38" s="47">
        <v>344</v>
      </c>
      <c r="Y38" s="47">
        <v>363</v>
      </c>
      <c r="Z38" s="47">
        <v>374</v>
      </c>
      <c r="AA38" s="47">
        <v>346</v>
      </c>
      <c r="AB38" s="47">
        <v>368</v>
      </c>
      <c r="AC38" s="47">
        <v>341</v>
      </c>
      <c r="AD38" s="47">
        <v>372</v>
      </c>
      <c r="AE38" s="47">
        <v>348</v>
      </c>
      <c r="AF38" s="47">
        <v>323</v>
      </c>
      <c r="AG38" s="47">
        <v>313</v>
      </c>
      <c r="AH38" s="47">
        <v>282</v>
      </c>
      <c r="AI38" s="47">
        <v>282</v>
      </c>
      <c r="AJ38" s="47">
        <v>261</v>
      </c>
      <c r="AK38" s="69">
        <v>11235</v>
      </c>
      <c r="AL38" s="69">
        <v>1</v>
      </c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47"/>
      <c r="BE38" s="47"/>
    </row>
  </sheetData>
  <sheetProtection/>
  <conditionalFormatting sqref="C4:BE38">
    <cfRule type="expression" priority="3" dxfId="15" stopIfTrue="1">
      <formula>IF(D4="",TRUE,FALSE)</formula>
    </cfRule>
    <cfRule type="expression" priority="4" dxfId="10" stopIfTrue="1">
      <formula>IF(C$1&lt;&gt;"Percent of Grand Total",TRUE,FALSE)</formula>
    </cfRule>
  </conditionalFormatting>
  <conditionalFormatting sqref="B4:B38">
    <cfRule type="expression" priority="1" dxfId="15" stopIfTrue="1">
      <formula>IF(C4="",TRUE,FALSE)</formula>
    </cfRule>
    <cfRule type="expression" priority="2" dxfId="10" stopIfTrue="1">
      <formula>IF(B$1&lt;&gt;"Percent of Grand Total",TRUE,FALSE)</formula>
    </cfRule>
  </conditionalFormatting>
  <printOptions/>
  <pageMargins left="0.75" right="0.75" top="1" bottom="1" header="0.5" footer="0.5"/>
  <pageSetup horizontalDpi="600" verticalDpi="600" orientation="portrait" pageOrder="overThenDown" scale="65" r:id="rId1"/>
  <headerFooter scaleWithDoc="0" alignWithMargins="0">
    <oddHeader>&amp;L&amp;"Garamond,Halbfett"&amp;12Table 3-6.  Numbers of Cross-Cohort Migrations by Year</oddHeader>
  </headerFooter>
  <colBreaks count="2" manualBreakCount="2">
    <brk id="17" max="65535" man="1"/>
    <brk id="3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pane ySplit="3" topLeftCell="A100" activePane="bottomLeft" state="frozen"/>
      <selection pane="topLeft" activeCell="A1" sqref="A1"/>
      <selection pane="bottomLeft" activeCell="K111" sqref="K111"/>
    </sheetView>
  </sheetViews>
  <sheetFormatPr defaultColWidth="9.140625" defaultRowHeight="15"/>
  <cols>
    <col min="1" max="1" width="30.57421875" style="2" bestFit="1" customWidth="1"/>
    <col min="2" max="2" width="8.421875" style="26" hidden="1" customWidth="1"/>
    <col min="3" max="3" width="14.7109375" style="105" customWidth="1"/>
    <col min="4" max="4" width="8.28125" style="105" hidden="1" customWidth="1"/>
    <col min="5" max="5" width="4.57421875" style="105" hidden="1" customWidth="1"/>
    <col min="6" max="6" width="5.7109375" style="105" hidden="1" customWidth="1"/>
    <col min="7" max="7" width="16.00390625" style="105" bestFit="1" customWidth="1"/>
    <col min="8" max="8" width="8.28125" style="105" hidden="1" customWidth="1"/>
    <col min="9" max="9" width="3.57421875" style="105" hidden="1" customWidth="1"/>
    <col min="10" max="10" width="5.7109375" style="105" hidden="1" customWidth="1"/>
    <col min="11" max="11" width="12.421875" style="105" bestFit="1" customWidth="1"/>
    <col min="12" max="12" width="8.28125" style="105" hidden="1" customWidth="1"/>
    <col min="13" max="13" width="3.57421875" style="105" hidden="1" customWidth="1"/>
    <col min="14" max="14" width="5.7109375" style="105" hidden="1" customWidth="1"/>
    <col min="15" max="15" width="16.7109375" style="105" customWidth="1"/>
    <col min="16" max="18" width="5.7109375" style="105" hidden="1" customWidth="1"/>
    <col min="19" max="19" width="14.7109375" style="105" customWidth="1"/>
    <col min="20" max="22" width="5.7109375" style="105" hidden="1" customWidth="1"/>
    <col min="23" max="16384" width="9.140625" style="2" customWidth="1"/>
  </cols>
  <sheetData>
    <row r="1" ht="18.75">
      <c r="A1" s="60" t="str">
        <f>"Table 3-7.  Net Shifts in Resident Types Due to Migration Activity by Permit Type, 1975-"&amp;TEXT(Sundry!B2,"0000")</f>
        <v>Table 3-7.  Net Shifts in Resident Types Due to Migration Activity by Permit Type, 1975-2010</v>
      </c>
    </row>
    <row r="2" ht="15">
      <c r="A2" s="61">
        <f>IF(C110&lt;&gt;SUM(Table7data!B:B),"ERROR  in count","")</f>
      </c>
    </row>
    <row r="3" spans="1:22" ht="30" customHeight="1">
      <c r="A3" s="91" t="s">
        <v>537</v>
      </c>
      <c r="B3" s="56"/>
      <c r="C3" s="106" t="s">
        <v>538</v>
      </c>
      <c r="D3" s="106"/>
      <c r="E3" s="106"/>
      <c r="F3" s="106"/>
      <c r="G3" s="106" t="s">
        <v>539</v>
      </c>
      <c r="H3" s="106"/>
      <c r="I3" s="106"/>
      <c r="J3" s="106"/>
      <c r="K3" s="106" t="s">
        <v>540</v>
      </c>
      <c r="L3" s="106"/>
      <c r="M3" s="106"/>
      <c r="N3" s="106"/>
      <c r="O3" s="106" t="s">
        <v>541</v>
      </c>
      <c r="P3" s="106"/>
      <c r="Q3" s="106"/>
      <c r="R3" s="106"/>
      <c r="S3" s="107" t="s">
        <v>499</v>
      </c>
      <c r="T3" s="106"/>
      <c r="U3" s="106"/>
      <c r="V3" s="106"/>
    </row>
    <row r="5" ht="15">
      <c r="A5" s="54" t="s">
        <v>425</v>
      </c>
    </row>
    <row r="6" spans="1:22" ht="15">
      <c r="A6" s="98" t="s">
        <v>186</v>
      </c>
      <c r="B6" s="24" t="s">
        <v>187</v>
      </c>
      <c r="C6" s="108">
        <f>IF(ISNA(VLOOKUP($B6,Table7data!$A:$F,2,FALSE)),"-",VLOOKUP($B6,Table7data!$A:$F,2,FALSE))</f>
        <v>1</v>
      </c>
      <c r="D6" s="38" t="str">
        <f aca="true" t="shared" si="0" ref="D6:D24">IF(C6="-","none",IF(C6&lt;0,"decrease",IF(C6=0,"constant","increase")))</f>
        <v>increase</v>
      </c>
      <c r="E6" s="16">
        <f>C6</f>
        <v>1</v>
      </c>
      <c r="F6" s="16" t="str">
        <f>A6</f>
        <v>SE Salmon Seine</v>
      </c>
      <c r="G6" s="108">
        <f>IF(C6="-","-",VLOOKUP($B6,Table7data!$A:$F,3,FALSE))</f>
        <v>4</v>
      </c>
      <c r="H6" s="38" t="str">
        <f aca="true" t="shared" si="1" ref="H6:H24">IF(G6="-","none",IF(G6&lt;0,"decrease",IF(G6=0,"constant","increase")))</f>
        <v>increase</v>
      </c>
      <c r="I6" s="16">
        <f>G6</f>
        <v>4</v>
      </c>
      <c r="J6" s="16" t="str">
        <f aca="true" t="shared" si="2" ref="J6:J24">F6</f>
        <v>SE Salmon Seine</v>
      </c>
      <c r="K6" s="108">
        <f>IF(C6="-","-",VLOOKUP($B6,Table7data!$A:$F,4,FALSE))</f>
        <v>-14</v>
      </c>
      <c r="L6" s="38" t="str">
        <f aca="true" t="shared" si="3" ref="L6:L24">IF(K6="-","none",IF(K6&lt;0,"decrease",IF(K6=0,"constant","increase")))</f>
        <v>decrease</v>
      </c>
      <c r="M6" s="16">
        <f>K6</f>
        <v>-14</v>
      </c>
      <c r="N6" s="16" t="str">
        <f>J6</f>
        <v>SE Salmon Seine</v>
      </c>
      <c r="O6" s="108">
        <f>IF(C6="-","-",VLOOKUP($B6,Table7data!$A:$F,5,FALSE))</f>
        <v>-5</v>
      </c>
      <c r="P6" s="38" t="str">
        <f aca="true" t="shared" si="4" ref="P6:P24">IF(O6="-","none",IF(O6&lt;0,"decrease",IF(O6=0,"constant","increase")))</f>
        <v>decrease</v>
      </c>
      <c r="Q6" s="16">
        <f>O6</f>
        <v>-5</v>
      </c>
      <c r="R6" s="16" t="str">
        <f>N6</f>
        <v>SE Salmon Seine</v>
      </c>
      <c r="S6" s="108">
        <f>IF(C6="-","-",VLOOKUP($B6,Table7data!$A:$F,6,FALSE))</f>
        <v>14</v>
      </c>
      <c r="T6" s="38" t="str">
        <f aca="true" t="shared" si="5" ref="T6:T24">IF(S6="-","none",IF(S6&lt;0,"decrease",IF(S6=0,"constant","increase")))</f>
        <v>increase</v>
      </c>
      <c r="U6" s="16">
        <f>S6</f>
        <v>14</v>
      </c>
      <c r="V6" s="16" t="str">
        <f>R6</f>
        <v>SE Salmon Seine</v>
      </c>
    </row>
    <row r="7" spans="1:22" ht="15">
      <c r="A7" s="98" t="s">
        <v>188</v>
      </c>
      <c r="B7" s="24" t="s">
        <v>189</v>
      </c>
      <c r="C7" s="108">
        <f>IF(ISNA(VLOOKUP($B7,Table7data!$A:$F,2,FALSE)),"-",VLOOKUP($B7,Table7data!$A:$F,2,FALSE))</f>
        <v>22</v>
      </c>
      <c r="D7" s="38" t="str">
        <f t="shared" si="0"/>
        <v>increase</v>
      </c>
      <c r="E7" s="16">
        <f aca="true" t="shared" si="6" ref="E7:E24">C7</f>
        <v>22</v>
      </c>
      <c r="F7" s="16" t="str">
        <f aca="true" t="shared" si="7" ref="F7:F24">A7</f>
        <v>SE Salmon Drift Gillnet</v>
      </c>
      <c r="G7" s="108">
        <f>IF(C7="-","-",VLOOKUP($B7,Table7data!$A:$F,3,FALSE))</f>
        <v>-10</v>
      </c>
      <c r="H7" s="38" t="str">
        <f t="shared" si="1"/>
        <v>decrease</v>
      </c>
      <c r="I7" s="16">
        <f aca="true" t="shared" si="8" ref="I7:I24">G7</f>
        <v>-10</v>
      </c>
      <c r="J7" s="16" t="str">
        <f t="shared" si="2"/>
        <v>SE Salmon Drift Gillnet</v>
      </c>
      <c r="K7" s="108">
        <f>IF(C7="-","-",VLOOKUP($B7,Table7data!$A:$F,4,FALSE))</f>
        <v>-14</v>
      </c>
      <c r="L7" s="38" t="str">
        <f t="shared" si="3"/>
        <v>decrease</v>
      </c>
      <c r="M7" s="16">
        <f aca="true" t="shared" si="9" ref="M7:M24">K7</f>
        <v>-14</v>
      </c>
      <c r="N7" s="16" t="str">
        <f aca="true" t="shared" si="10" ref="N7:N24">J7</f>
        <v>SE Salmon Drift Gillnet</v>
      </c>
      <c r="O7" s="108">
        <f>IF(C7="-","-",VLOOKUP($B7,Table7data!$A:$F,5,FALSE))</f>
        <v>5</v>
      </c>
      <c r="P7" s="38" t="str">
        <f t="shared" si="4"/>
        <v>increase</v>
      </c>
      <c r="Q7" s="16">
        <f aca="true" t="shared" si="11" ref="Q7:Q24">O7</f>
        <v>5</v>
      </c>
      <c r="R7" s="16" t="str">
        <f aca="true" t="shared" si="12" ref="R7:R24">N7</f>
        <v>SE Salmon Drift Gillnet</v>
      </c>
      <c r="S7" s="108">
        <f>IF(C7="-","-",VLOOKUP($B7,Table7data!$A:$F,6,FALSE))</f>
        <v>-3</v>
      </c>
      <c r="T7" s="38" t="str">
        <f t="shared" si="5"/>
        <v>decrease</v>
      </c>
      <c r="U7" s="16">
        <f aca="true" t="shared" si="13" ref="U7:U24">S7</f>
        <v>-3</v>
      </c>
      <c r="V7" s="16" t="str">
        <f aca="true" t="shared" si="14" ref="V7:V24">R7</f>
        <v>SE Salmon Drift Gillnet</v>
      </c>
    </row>
    <row r="8" spans="1:22" ht="15">
      <c r="A8" s="98" t="s">
        <v>190</v>
      </c>
      <c r="B8" s="24" t="s">
        <v>191</v>
      </c>
      <c r="C8" s="108">
        <f>IF(ISNA(VLOOKUP($B8,Table7data!$A:$F,2,FALSE)),"-",VLOOKUP($B8,Table7data!$A:$F,2,FALSE))</f>
        <v>-65</v>
      </c>
      <c r="D8" s="38" t="str">
        <f t="shared" si="0"/>
        <v>decrease</v>
      </c>
      <c r="E8" s="16">
        <f t="shared" si="6"/>
        <v>-65</v>
      </c>
      <c r="F8" s="16" t="str">
        <f t="shared" si="7"/>
        <v>Salmon Power Troll</v>
      </c>
      <c r="G8" s="108">
        <f>IF(C8="-","-",VLOOKUP($B8,Table7data!$A:$F,3,FALSE))</f>
        <v>3</v>
      </c>
      <c r="H8" s="38" t="str">
        <f t="shared" si="1"/>
        <v>increase</v>
      </c>
      <c r="I8" s="16">
        <f t="shared" si="8"/>
        <v>3</v>
      </c>
      <c r="J8" s="16" t="str">
        <f t="shared" si="2"/>
        <v>Salmon Power Troll</v>
      </c>
      <c r="K8" s="108">
        <f>IF(C8="-","-",VLOOKUP($B8,Table7data!$A:$F,4,FALSE))</f>
        <v>26</v>
      </c>
      <c r="L8" s="38" t="str">
        <f t="shared" si="3"/>
        <v>increase</v>
      </c>
      <c r="M8" s="16">
        <f t="shared" si="9"/>
        <v>26</v>
      </c>
      <c r="N8" s="16" t="str">
        <f t="shared" si="10"/>
        <v>Salmon Power Troll</v>
      </c>
      <c r="O8" s="108">
        <f>IF(C8="-","-",VLOOKUP($B8,Table7data!$A:$F,5,FALSE))</f>
        <v>-2</v>
      </c>
      <c r="P8" s="38" t="str">
        <f t="shared" si="4"/>
        <v>decrease</v>
      </c>
      <c r="Q8" s="16">
        <f t="shared" si="11"/>
        <v>-2</v>
      </c>
      <c r="R8" s="16" t="str">
        <f t="shared" si="12"/>
        <v>Salmon Power Troll</v>
      </c>
      <c r="S8" s="108">
        <f>IF(C8="-","-",VLOOKUP($B8,Table7data!$A:$F,6,FALSE))</f>
        <v>38</v>
      </c>
      <c r="T8" s="38" t="str">
        <f t="shared" si="5"/>
        <v>increase</v>
      </c>
      <c r="U8" s="16">
        <f t="shared" si="13"/>
        <v>38</v>
      </c>
      <c r="V8" s="16" t="str">
        <f t="shared" si="14"/>
        <v>Salmon Power Troll</v>
      </c>
    </row>
    <row r="9" spans="1:22" ht="15">
      <c r="A9" s="98" t="s">
        <v>192</v>
      </c>
      <c r="B9" s="24" t="s">
        <v>193</v>
      </c>
      <c r="C9" s="108">
        <f>IF(ISNA(VLOOKUP($B9,Table7data!$A:$F,2,FALSE)),"-",VLOOKUP($B9,Table7data!$A:$F,2,FALSE))</f>
        <v>-19</v>
      </c>
      <c r="D9" s="38" t="str">
        <f t="shared" si="0"/>
        <v>decrease</v>
      </c>
      <c r="E9" s="16">
        <f t="shared" si="6"/>
        <v>-19</v>
      </c>
      <c r="F9" s="16" t="str">
        <f t="shared" si="7"/>
        <v>Yakutat Salmon Setnet</v>
      </c>
      <c r="G9" s="108">
        <f>IF(C9="-","-",VLOOKUP($B9,Table7data!$A:$F,3,FALSE))</f>
        <v>-3</v>
      </c>
      <c r="H9" s="38" t="str">
        <f t="shared" si="1"/>
        <v>decrease</v>
      </c>
      <c r="I9" s="16">
        <f t="shared" si="8"/>
        <v>-3</v>
      </c>
      <c r="J9" s="16" t="str">
        <f t="shared" si="2"/>
        <v>Yakutat Salmon Setnet</v>
      </c>
      <c r="K9" s="108">
        <f>IF(C9="-","-",VLOOKUP($B9,Table7data!$A:$F,4,FALSE))</f>
        <v>0</v>
      </c>
      <c r="L9" s="38" t="str">
        <f t="shared" si="3"/>
        <v>constant</v>
      </c>
      <c r="M9" s="16">
        <f t="shared" si="9"/>
        <v>0</v>
      </c>
      <c r="N9" s="16" t="str">
        <f t="shared" si="10"/>
        <v>Yakutat Salmon Setnet</v>
      </c>
      <c r="O9" s="108">
        <f>IF(C9="-","-",VLOOKUP($B9,Table7data!$A:$F,5,FALSE))</f>
        <v>10</v>
      </c>
      <c r="P9" s="38" t="str">
        <f t="shared" si="4"/>
        <v>increase</v>
      </c>
      <c r="Q9" s="16">
        <f t="shared" si="11"/>
        <v>10</v>
      </c>
      <c r="R9" s="16" t="str">
        <f t="shared" si="12"/>
        <v>Yakutat Salmon Setnet</v>
      </c>
      <c r="S9" s="108">
        <f>IF(C9="-","-",VLOOKUP($B9,Table7data!$A:$F,6,FALSE))</f>
        <v>12</v>
      </c>
      <c r="T9" s="38" t="str">
        <f t="shared" si="5"/>
        <v>increase</v>
      </c>
      <c r="U9" s="16">
        <f t="shared" si="13"/>
        <v>12</v>
      </c>
      <c r="V9" s="16" t="str">
        <f t="shared" si="14"/>
        <v>Yakutat Salmon Setnet</v>
      </c>
    </row>
    <row r="10" spans="1:22" ht="15">
      <c r="A10" s="98" t="s">
        <v>194</v>
      </c>
      <c r="B10" s="24" t="s">
        <v>195</v>
      </c>
      <c r="C10" s="108">
        <f>IF(ISNA(VLOOKUP($B10,Table7data!$A:$F,2,FALSE)),"-",VLOOKUP($B10,Table7data!$A:$F,2,FALSE))</f>
        <v>-45</v>
      </c>
      <c r="D10" s="38" t="str">
        <f t="shared" si="0"/>
        <v>decrease</v>
      </c>
      <c r="E10" s="16">
        <f t="shared" si="6"/>
        <v>-45</v>
      </c>
      <c r="F10" s="16" t="str">
        <f t="shared" si="7"/>
        <v>PWS Salmon Seine</v>
      </c>
      <c r="G10" s="108">
        <f>IF(C10="-","-",VLOOKUP($B10,Table7data!$A:$F,3,FALSE))</f>
        <v>-1</v>
      </c>
      <c r="H10" s="38" t="str">
        <f t="shared" si="1"/>
        <v>decrease</v>
      </c>
      <c r="I10" s="16">
        <f t="shared" si="8"/>
        <v>-1</v>
      </c>
      <c r="J10" s="16" t="str">
        <f t="shared" si="2"/>
        <v>PWS Salmon Seine</v>
      </c>
      <c r="K10" s="108">
        <f>IF(C10="-","-",VLOOKUP($B10,Table7data!$A:$F,4,FALSE))</f>
        <v>0</v>
      </c>
      <c r="L10" s="38" t="str">
        <f t="shared" si="3"/>
        <v>constant</v>
      </c>
      <c r="M10" s="16">
        <f t="shared" si="9"/>
        <v>0</v>
      </c>
      <c r="N10" s="16" t="str">
        <f t="shared" si="10"/>
        <v>PWS Salmon Seine</v>
      </c>
      <c r="O10" s="108">
        <f>IF(C10="-","-",VLOOKUP($B10,Table7data!$A:$F,5,FALSE))</f>
        <v>21</v>
      </c>
      <c r="P10" s="38" t="str">
        <f t="shared" si="4"/>
        <v>increase</v>
      </c>
      <c r="Q10" s="16">
        <f t="shared" si="11"/>
        <v>21</v>
      </c>
      <c r="R10" s="16" t="str">
        <f t="shared" si="12"/>
        <v>PWS Salmon Seine</v>
      </c>
      <c r="S10" s="108">
        <f>IF(C10="-","-",VLOOKUP($B10,Table7data!$A:$F,6,FALSE))</f>
        <v>25</v>
      </c>
      <c r="T10" s="38" t="str">
        <f t="shared" si="5"/>
        <v>increase</v>
      </c>
      <c r="U10" s="16">
        <f t="shared" si="13"/>
        <v>25</v>
      </c>
      <c r="V10" s="16" t="str">
        <f t="shared" si="14"/>
        <v>PWS Salmon Seine</v>
      </c>
    </row>
    <row r="11" spans="1:22" ht="15">
      <c r="A11" s="98" t="s">
        <v>196</v>
      </c>
      <c r="B11" s="24" t="s">
        <v>197</v>
      </c>
      <c r="C11" s="108">
        <f>IF(ISNA(VLOOKUP($B11,Table7data!$A:$F,2,FALSE)),"-",VLOOKUP($B11,Table7data!$A:$F,2,FALSE))</f>
        <v>-49</v>
      </c>
      <c r="D11" s="38" t="str">
        <f t="shared" si="0"/>
        <v>decrease</v>
      </c>
      <c r="E11" s="16">
        <f t="shared" si="6"/>
        <v>-49</v>
      </c>
      <c r="F11" s="16" t="str">
        <f t="shared" si="7"/>
        <v>PWS Salmon Drift Gillnet</v>
      </c>
      <c r="G11" s="108">
        <f>IF(C11="-","-",VLOOKUP($B11,Table7data!$A:$F,3,FALSE))</f>
        <v>-28</v>
      </c>
      <c r="H11" s="38" t="str">
        <f t="shared" si="1"/>
        <v>decrease</v>
      </c>
      <c r="I11" s="16">
        <f t="shared" si="8"/>
        <v>-28</v>
      </c>
      <c r="J11" s="16" t="str">
        <f t="shared" si="2"/>
        <v>PWS Salmon Drift Gillnet</v>
      </c>
      <c r="K11" s="108">
        <f>IF(C11="-","-",VLOOKUP($B11,Table7data!$A:$F,4,FALSE))</f>
        <v>0</v>
      </c>
      <c r="L11" s="38" t="str">
        <f t="shared" si="3"/>
        <v>constant</v>
      </c>
      <c r="M11" s="16">
        <f t="shared" si="9"/>
        <v>0</v>
      </c>
      <c r="N11" s="16" t="str">
        <f t="shared" si="10"/>
        <v>PWS Salmon Drift Gillnet</v>
      </c>
      <c r="O11" s="108">
        <f>IF(C11="-","-",VLOOKUP($B11,Table7data!$A:$F,5,FALSE))</f>
        <v>34</v>
      </c>
      <c r="P11" s="38" t="str">
        <f t="shared" si="4"/>
        <v>increase</v>
      </c>
      <c r="Q11" s="16">
        <f t="shared" si="11"/>
        <v>34</v>
      </c>
      <c r="R11" s="16" t="str">
        <f t="shared" si="12"/>
        <v>PWS Salmon Drift Gillnet</v>
      </c>
      <c r="S11" s="108">
        <f>IF(C11="-","-",VLOOKUP($B11,Table7data!$A:$F,6,FALSE))</f>
        <v>43</v>
      </c>
      <c r="T11" s="38" t="str">
        <f t="shared" si="5"/>
        <v>increase</v>
      </c>
      <c r="U11" s="16">
        <f t="shared" si="13"/>
        <v>43</v>
      </c>
      <c r="V11" s="16" t="str">
        <f t="shared" si="14"/>
        <v>PWS Salmon Drift Gillnet</v>
      </c>
    </row>
    <row r="12" spans="1:22" ht="15">
      <c r="A12" s="98" t="s">
        <v>198</v>
      </c>
      <c r="B12" s="24" t="s">
        <v>199</v>
      </c>
      <c r="C12" s="108">
        <f>IF(ISNA(VLOOKUP($B12,Table7data!$A:$F,2,FALSE)),"-",VLOOKUP($B12,Table7data!$A:$F,2,FALSE))</f>
        <v>-4</v>
      </c>
      <c r="D12" s="38" t="str">
        <f t="shared" si="0"/>
        <v>decrease</v>
      </c>
      <c r="E12" s="16">
        <f t="shared" si="6"/>
        <v>-4</v>
      </c>
      <c r="F12" s="16" t="str">
        <f t="shared" si="7"/>
        <v>PWS Salmon Setnet</v>
      </c>
      <c r="G12" s="108">
        <f>IF(C12="-","-",VLOOKUP($B12,Table7data!$A:$F,3,FALSE))</f>
        <v>0</v>
      </c>
      <c r="H12" s="38" t="str">
        <f t="shared" si="1"/>
        <v>constant</v>
      </c>
      <c r="I12" s="16">
        <f t="shared" si="8"/>
        <v>0</v>
      </c>
      <c r="J12" s="16" t="str">
        <f t="shared" si="2"/>
        <v>PWS Salmon Setnet</v>
      </c>
      <c r="K12" s="108">
        <f>IF(C12="-","-",VLOOKUP($B12,Table7data!$A:$F,4,FALSE))</f>
        <v>0</v>
      </c>
      <c r="L12" s="38" t="str">
        <f t="shared" si="3"/>
        <v>constant</v>
      </c>
      <c r="M12" s="16">
        <f t="shared" si="9"/>
        <v>0</v>
      </c>
      <c r="N12" s="16" t="str">
        <f t="shared" si="10"/>
        <v>PWS Salmon Setnet</v>
      </c>
      <c r="O12" s="108">
        <f>IF(C12="-","-",VLOOKUP($B12,Table7data!$A:$F,5,FALSE))</f>
        <v>3</v>
      </c>
      <c r="P12" s="38" t="str">
        <f t="shared" si="4"/>
        <v>increase</v>
      </c>
      <c r="Q12" s="16">
        <f t="shared" si="11"/>
        <v>3</v>
      </c>
      <c r="R12" s="16" t="str">
        <f t="shared" si="12"/>
        <v>PWS Salmon Setnet</v>
      </c>
      <c r="S12" s="108">
        <f>IF(C12="-","-",VLOOKUP($B12,Table7data!$A:$F,6,FALSE))</f>
        <v>1</v>
      </c>
      <c r="T12" s="38" t="str">
        <f t="shared" si="5"/>
        <v>increase</v>
      </c>
      <c r="U12" s="16">
        <f t="shared" si="13"/>
        <v>1</v>
      </c>
      <c r="V12" s="16" t="str">
        <f t="shared" si="14"/>
        <v>PWS Salmon Setnet</v>
      </c>
    </row>
    <row r="13" spans="1:22" ht="15">
      <c r="A13" s="98" t="s">
        <v>200</v>
      </c>
      <c r="B13" s="24" t="s">
        <v>201</v>
      </c>
      <c r="C13" s="108">
        <f>IF(ISNA(VLOOKUP($B13,Table7data!$A:$F,2,FALSE)),"-",VLOOKUP($B13,Table7data!$A:$F,2,FALSE))</f>
        <v>-5</v>
      </c>
      <c r="D13" s="38" t="str">
        <f t="shared" si="0"/>
        <v>decrease</v>
      </c>
      <c r="E13" s="16">
        <f t="shared" si="6"/>
        <v>-5</v>
      </c>
      <c r="F13" s="16" t="str">
        <f t="shared" si="7"/>
        <v>Cook Inlet Salmon Seine</v>
      </c>
      <c r="G13" s="108">
        <f>IF(C13="-","-",VLOOKUP($B13,Table7data!$A:$F,3,FALSE))</f>
        <v>-2</v>
      </c>
      <c r="H13" s="38" t="str">
        <f t="shared" si="1"/>
        <v>decrease</v>
      </c>
      <c r="I13" s="16">
        <f t="shared" si="8"/>
        <v>-2</v>
      </c>
      <c r="J13" s="16" t="str">
        <f t="shared" si="2"/>
        <v>Cook Inlet Salmon Seine</v>
      </c>
      <c r="K13" s="108">
        <f>IF(C13="-","-",VLOOKUP($B13,Table7data!$A:$F,4,FALSE))</f>
        <v>2</v>
      </c>
      <c r="L13" s="38" t="str">
        <f t="shared" si="3"/>
        <v>increase</v>
      </c>
      <c r="M13" s="16">
        <f t="shared" si="9"/>
        <v>2</v>
      </c>
      <c r="N13" s="16" t="str">
        <f t="shared" si="10"/>
        <v>Cook Inlet Salmon Seine</v>
      </c>
      <c r="O13" s="108">
        <f>IF(C13="-","-",VLOOKUP($B13,Table7data!$A:$F,5,FALSE))</f>
        <v>-3</v>
      </c>
      <c r="P13" s="38" t="str">
        <f t="shared" si="4"/>
        <v>decrease</v>
      </c>
      <c r="Q13" s="16">
        <f t="shared" si="11"/>
        <v>-3</v>
      </c>
      <c r="R13" s="16" t="str">
        <f t="shared" si="12"/>
        <v>Cook Inlet Salmon Seine</v>
      </c>
      <c r="S13" s="108">
        <f>IF(C13="-","-",VLOOKUP($B13,Table7data!$A:$F,6,FALSE))</f>
        <v>8</v>
      </c>
      <c r="T13" s="38" t="str">
        <f t="shared" si="5"/>
        <v>increase</v>
      </c>
      <c r="U13" s="16">
        <f t="shared" si="13"/>
        <v>8</v>
      </c>
      <c r="V13" s="16" t="str">
        <f t="shared" si="14"/>
        <v>Cook Inlet Salmon Seine</v>
      </c>
    </row>
    <row r="14" spans="1:22" ht="15">
      <c r="A14" s="98" t="s">
        <v>202</v>
      </c>
      <c r="B14" s="24" t="s">
        <v>203</v>
      </c>
      <c r="C14" s="108">
        <f>IF(ISNA(VLOOKUP($B14,Table7data!$A:$F,2,FALSE)),"-",VLOOKUP($B14,Table7data!$A:$F,2,FALSE))</f>
        <v>8</v>
      </c>
      <c r="D14" s="38" t="str">
        <f t="shared" si="0"/>
        <v>increase</v>
      </c>
      <c r="E14" s="16">
        <f t="shared" si="6"/>
        <v>8</v>
      </c>
      <c r="F14" s="16" t="str">
        <f t="shared" si="7"/>
        <v>Cook Inlet Salmon Drift</v>
      </c>
      <c r="G14" s="108">
        <f>IF(C14="-","-",VLOOKUP($B14,Table7data!$A:$F,3,FALSE))</f>
        <v>-3</v>
      </c>
      <c r="H14" s="38" t="str">
        <f t="shared" si="1"/>
        <v>decrease</v>
      </c>
      <c r="I14" s="16">
        <f t="shared" si="8"/>
        <v>-3</v>
      </c>
      <c r="J14" s="16" t="str">
        <f t="shared" si="2"/>
        <v>Cook Inlet Salmon Drift</v>
      </c>
      <c r="K14" s="108">
        <f>IF(C14="-","-",VLOOKUP($B14,Table7data!$A:$F,4,FALSE))</f>
        <v>-52</v>
      </c>
      <c r="L14" s="38" t="str">
        <f t="shared" si="3"/>
        <v>decrease</v>
      </c>
      <c r="M14" s="16">
        <f t="shared" si="9"/>
        <v>-52</v>
      </c>
      <c r="N14" s="16" t="str">
        <f t="shared" si="10"/>
        <v>Cook Inlet Salmon Drift</v>
      </c>
      <c r="O14" s="108">
        <f>IF(C14="-","-",VLOOKUP($B14,Table7data!$A:$F,5,FALSE))</f>
        <v>0</v>
      </c>
      <c r="P14" s="38" t="str">
        <f t="shared" si="4"/>
        <v>constant</v>
      </c>
      <c r="Q14" s="16">
        <f t="shared" si="11"/>
        <v>0</v>
      </c>
      <c r="R14" s="16" t="str">
        <f t="shared" si="12"/>
        <v>Cook Inlet Salmon Drift</v>
      </c>
      <c r="S14" s="108">
        <f>IF(C14="-","-",VLOOKUP($B14,Table7data!$A:$F,6,FALSE))</f>
        <v>47</v>
      </c>
      <c r="T14" s="38" t="str">
        <f t="shared" si="5"/>
        <v>increase</v>
      </c>
      <c r="U14" s="16">
        <f t="shared" si="13"/>
        <v>47</v>
      </c>
      <c r="V14" s="16" t="str">
        <f t="shared" si="14"/>
        <v>Cook Inlet Salmon Drift</v>
      </c>
    </row>
    <row r="15" spans="1:22" ht="15">
      <c r="A15" s="98" t="s">
        <v>204</v>
      </c>
      <c r="B15" s="24" t="s">
        <v>205</v>
      </c>
      <c r="C15" s="108">
        <f>IF(ISNA(VLOOKUP($B15,Table7data!$A:$F,2,FALSE)),"-",VLOOKUP($B15,Table7data!$A:$F,2,FALSE))</f>
        <v>11</v>
      </c>
      <c r="D15" s="38" t="str">
        <f t="shared" si="0"/>
        <v>increase</v>
      </c>
      <c r="E15" s="16">
        <f t="shared" si="6"/>
        <v>11</v>
      </c>
      <c r="F15" s="16" t="str">
        <f t="shared" si="7"/>
        <v>Cook Inlet Salmon Setnet</v>
      </c>
      <c r="G15" s="108">
        <f>IF(C15="-","-",VLOOKUP($B15,Table7data!$A:$F,3,FALSE))</f>
        <v>5</v>
      </c>
      <c r="H15" s="38" t="str">
        <f t="shared" si="1"/>
        <v>increase</v>
      </c>
      <c r="I15" s="16">
        <f t="shared" si="8"/>
        <v>5</v>
      </c>
      <c r="J15" s="16" t="str">
        <f t="shared" si="2"/>
        <v>Cook Inlet Salmon Setnet</v>
      </c>
      <c r="K15" s="108">
        <f>IF(C15="-","-",VLOOKUP($B15,Table7data!$A:$F,4,FALSE))</f>
        <v>-53</v>
      </c>
      <c r="L15" s="38" t="str">
        <f t="shared" si="3"/>
        <v>decrease</v>
      </c>
      <c r="M15" s="16">
        <f t="shared" si="9"/>
        <v>-53</v>
      </c>
      <c r="N15" s="16" t="str">
        <f t="shared" si="10"/>
        <v>Cook Inlet Salmon Setnet</v>
      </c>
      <c r="O15" s="108">
        <f>IF(C15="-","-",VLOOKUP($B15,Table7data!$A:$F,5,FALSE))</f>
        <v>-14</v>
      </c>
      <c r="P15" s="38" t="str">
        <f t="shared" si="4"/>
        <v>decrease</v>
      </c>
      <c r="Q15" s="16">
        <f t="shared" si="11"/>
        <v>-14</v>
      </c>
      <c r="R15" s="16" t="str">
        <f t="shared" si="12"/>
        <v>Cook Inlet Salmon Setnet</v>
      </c>
      <c r="S15" s="108">
        <f>IF(C15="-","-",VLOOKUP($B15,Table7data!$A:$F,6,FALSE))</f>
        <v>51</v>
      </c>
      <c r="T15" s="38" t="str">
        <f t="shared" si="5"/>
        <v>increase</v>
      </c>
      <c r="U15" s="16">
        <f t="shared" si="13"/>
        <v>51</v>
      </c>
      <c r="V15" s="16" t="str">
        <f t="shared" si="14"/>
        <v>Cook Inlet Salmon Setnet</v>
      </c>
    </row>
    <row r="16" spans="1:22" ht="15">
      <c r="A16" s="98" t="s">
        <v>206</v>
      </c>
      <c r="B16" s="24" t="s">
        <v>207</v>
      </c>
      <c r="C16" s="108">
        <f>IF(ISNA(VLOOKUP($B16,Table7data!$A:$F,2,FALSE)),"-",VLOOKUP($B16,Table7data!$A:$F,2,FALSE))</f>
        <v>-23</v>
      </c>
      <c r="D16" s="38" t="str">
        <f t="shared" si="0"/>
        <v>decrease</v>
      </c>
      <c r="E16" s="16">
        <f t="shared" si="6"/>
        <v>-23</v>
      </c>
      <c r="F16" s="16" t="str">
        <f t="shared" si="7"/>
        <v>Kodiak Salmon Seine</v>
      </c>
      <c r="G16" s="108">
        <f>IF(C16="-","-",VLOOKUP($B16,Table7data!$A:$F,3,FALSE))</f>
        <v>7</v>
      </c>
      <c r="H16" s="38" t="str">
        <f t="shared" si="1"/>
        <v>increase</v>
      </c>
      <c r="I16" s="16">
        <f t="shared" si="8"/>
        <v>7</v>
      </c>
      <c r="J16" s="16" t="str">
        <f t="shared" si="2"/>
        <v>Kodiak Salmon Seine</v>
      </c>
      <c r="K16" s="108">
        <f>IF(C16="-","-",VLOOKUP($B16,Table7data!$A:$F,4,FALSE))</f>
        <v>-67</v>
      </c>
      <c r="L16" s="38" t="str">
        <f t="shared" si="3"/>
        <v>decrease</v>
      </c>
      <c r="M16" s="16">
        <f t="shared" si="9"/>
        <v>-67</v>
      </c>
      <c r="N16" s="16" t="str">
        <f t="shared" si="10"/>
        <v>Kodiak Salmon Seine</v>
      </c>
      <c r="O16" s="108">
        <f>IF(C16="-","-",VLOOKUP($B16,Table7data!$A:$F,5,FALSE))</f>
        <v>17</v>
      </c>
      <c r="P16" s="38" t="str">
        <f t="shared" si="4"/>
        <v>increase</v>
      </c>
      <c r="Q16" s="16">
        <f t="shared" si="11"/>
        <v>17</v>
      </c>
      <c r="R16" s="16" t="str">
        <f t="shared" si="12"/>
        <v>Kodiak Salmon Seine</v>
      </c>
      <c r="S16" s="108">
        <f>IF(C16="-","-",VLOOKUP($B16,Table7data!$A:$F,6,FALSE))</f>
        <v>66</v>
      </c>
      <c r="T16" s="38" t="str">
        <f t="shared" si="5"/>
        <v>increase</v>
      </c>
      <c r="U16" s="16">
        <f t="shared" si="13"/>
        <v>66</v>
      </c>
      <c r="V16" s="16" t="str">
        <f t="shared" si="14"/>
        <v>Kodiak Salmon Seine</v>
      </c>
    </row>
    <row r="17" spans="1:22" ht="15">
      <c r="A17" s="98" t="s">
        <v>208</v>
      </c>
      <c r="B17" s="24" t="s">
        <v>209</v>
      </c>
      <c r="C17" s="108">
        <f>IF(ISNA(VLOOKUP($B17,Table7data!$A:$F,2,FALSE)),"-",VLOOKUP($B17,Table7data!$A:$F,2,FALSE))</f>
        <v>-6</v>
      </c>
      <c r="D17" s="38" t="str">
        <f t="shared" si="0"/>
        <v>decrease</v>
      </c>
      <c r="E17" s="16">
        <f t="shared" si="6"/>
        <v>-6</v>
      </c>
      <c r="F17" s="16" t="str">
        <f t="shared" si="7"/>
        <v>Kodiak Salmon Beach Seine</v>
      </c>
      <c r="G17" s="108">
        <f>IF(C17="-","-",VLOOKUP($B17,Table7data!$A:$F,3,FALSE))</f>
        <v>2</v>
      </c>
      <c r="H17" s="38" t="str">
        <f t="shared" si="1"/>
        <v>increase</v>
      </c>
      <c r="I17" s="16">
        <f t="shared" si="8"/>
        <v>2</v>
      </c>
      <c r="J17" s="16" t="str">
        <f t="shared" si="2"/>
        <v>Kodiak Salmon Beach Seine</v>
      </c>
      <c r="K17" s="108">
        <f>IF(C17="-","-",VLOOKUP($B17,Table7data!$A:$F,4,FALSE))</f>
        <v>-1</v>
      </c>
      <c r="L17" s="38" t="str">
        <f t="shared" si="3"/>
        <v>decrease</v>
      </c>
      <c r="M17" s="16">
        <f t="shared" si="9"/>
        <v>-1</v>
      </c>
      <c r="N17" s="16" t="str">
        <f t="shared" si="10"/>
        <v>Kodiak Salmon Beach Seine</v>
      </c>
      <c r="O17" s="108">
        <f>IF(C17="-","-",VLOOKUP($B17,Table7data!$A:$F,5,FALSE))</f>
        <v>2</v>
      </c>
      <c r="P17" s="38" t="str">
        <f t="shared" si="4"/>
        <v>increase</v>
      </c>
      <c r="Q17" s="16">
        <f t="shared" si="11"/>
        <v>2</v>
      </c>
      <c r="R17" s="16" t="str">
        <f t="shared" si="12"/>
        <v>Kodiak Salmon Beach Seine</v>
      </c>
      <c r="S17" s="108">
        <f>IF(C17="-","-",VLOOKUP($B17,Table7data!$A:$F,6,FALSE))</f>
        <v>3</v>
      </c>
      <c r="T17" s="38" t="str">
        <f t="shared" si="5"/>
        <v>increase</v>
      </c>
      <c r="U17" s="16">
        <f t="shared" si="13"/>
        <v>3</v>
      </c>
      <c r="V17" s="16" t="str">
        <f t="shared" si="14"/>
        <v>Kodiak Salmon Beach Seine</v>
      </c>
    </row>
    <row r="18" spans="1:22" ht="15">
      <c r="A18" s="98" t="s">
        <v>210</v>
      </c>
      <c r="B18" s="24" t="s">
        <v>211</v>
      </c>
      <c r="C18" s="108">
        <f>IF(ISNA(VLOOKUP($B18,Table7data!$A:$F,2,FALSE)),"-",VLOOKUP($B18,Table7data!$A:$F,2,FALSE))</f>
        <v>-21</v>
      </c>
      <c r="D18" s="38" t="str">
        <f t="shared" si="0"/>
        <v>decrease</v>
      </c>
      <c r="E18" s="16">
        <f t="shared" si="6"/>
        <v>-21</v>
      </c>
      <c r="F18" s="16" t="str">
        <f t="shared" si="7"/>
        <v>Kodiak Salmon Setnet</v>
      </c>
      <c r="G18" s="108">
        <f>IF(C18="-","-",VLOOKUP($B18,Table7data!$A:$F,3,FALSE))</f>
        <v>4</v>
      </c>
      <c r="H18" s="38" t="str">
        <f t="shared" si="1"/>
        <v>increase</v>
      </c>
      <c r="I18" s="16">
        <f t="shared" si="8"/>
        <v>4</v>
      </c>
      <c r="J18" s="16" t="str">
        <f t="shared" si="2"/>
        <v>Kodiak Salmon Setnet</v>
      </c>
      <c r="K18" s="108">
        <f>IF(C18="-","-",VLOOKUP($B18,Table7data!$A:$F,4,FALSE))</f>
        <v>-32</v>
      </c>
      <c r="L18" s="38" t="str">
        <f t="shared" si="3"/>
        <v>decrease</v>
      </c>
      <c r="M18" s="16">
        <f t="shared" si="9"/>
        <v>-32</v>
      </c>
      <c r="N18" s="16" t="str">
        <f t="shared" si="10"/>
        <v>Kodiak Salmon Setnet</v>
      </c>
      <c r="O18" s="108">
        <f>IF(C18="-","-",VLOOKUP($B18,Table7data!$A:$F,5,FALSE))</f>
        <v>8</v>
      </c>
      <c r="P18" s="38" t="str">
        <f t="shared" si="4"/>
        <v>increase</v>
      </c>
      <c r="Q18" s="16">
        <f t="shared" si="11"/>
        <v>8</v>
      </c>
      <c r="R18" s="16" t="str">
        <f t="shared" si="12"/>
        <v>Kodiak Salmon Setnet</v>
      </c>
      <c r="S18" s="108">
        <f>IF(C18="-","-",VLOOKUP($B18,Table7data!$A:$F,6,FALSE))</f>
        <v>41</v>
      </c>
      <c r="T18" s="38" t="str">
        <f t="shared" si="5"/>
        <v>increase</v>
      </c>
      <c r="U18" s="16">
        <f t="shared" si="13"/>
        <v>41</v>
      </c>
      <c r="V18" s="16" t="str">
        <f t="shared" si="14"/>
        <v>Kodiak Salmon Setnet</v>
      </c>
    </row>
    <row r="19" spans="1:22" ht="15">
      <c r="A19" s="98" t="s">
        <v>212</v>
      </c>
      <c r="B19" s="24" t="s">
        <v>213</v>
      </c>
      <c r="C19" s="108">
        <f>IF(ISNA(VLOOKUP($B19,Table7data!$A:$F,2,FALSE)),"-",VLOOKUP($B19,Table7data!$A:$F,2,FALSE))</f>
        <v>7</v>
      </c>
      <c r="D19" s="38" t="str">
        <f t="shared" si="0"/>
        <v>increase</v>
      </c>
      <c r="E19" s="16">
        <f t="shared" si="6"/>
        <v>7</v>
      </c>
      <c r="F19" s="16" t="str">
        <f t="shared" si="7"/>
        <v>Chignik Salmon Seine</v>
      </c>
      <c r="G19" s="108">
        <f>IF(C19="-","-",VLOOKUP($B19,Table7data!$A:$F,3,FALSE))</f>
        <v>-4</v>
      </c>
      <c r="H19" s="38" t="str">
        <f t="shared" si="1"/>
        <v>decrease</v>
      </c>
      <c r="I19" s="16">
        <f t="shared" si="8"/>
        <v>-4</v>
      </c>
      <c r="J19" s="16" t="str">
        <f t="shared" si="2"/>
        <v>Chignik Salmon Seine</v>
      </c>
      <c r="K19" s="108">
        <f>IF(C19="-","-",VLOOKUP($B19,Table7data!$A:$F,4,FALSE))</f>
        <v>0</v>
      </c>
      <c r="L19" s="38" t="str">
        <f t="shared" si="3"/>
        <v>constant</v>
      </c>
      <c r="M19" s="16">
        <f t="shared" si="9"/>
        <v>0</v>
      </c>
      <c r="N19" s="16" t="str">
        <f t="shared" si="10"/>
        <v>Chignik Salmon Seine</v>
      </c>
      <c r="O19" s="108">
        <f>IF(C19="-","-",VLOOKUP($B19,Table7data!$A:$F,5,FALSE))</f>
        <v>-8</v>
      </c>
      <c r="P19" s="38" t="str">
        <f t="shared" si="4"/>
        <v>decrease</v>
      </c>
      <c r="Q19" s="16">
        <f t="shared" si="11"/>
        <v>-8</v>
      </c>
      <c r="R19" s="16" t="str">
        <f t="shared" si="12"/>
        <v>Chignik Salmon Seine</v>
      </c>
      <c r="S19" s="108">
        <f>IF(C19="-","-",VLOOKUP($B19,Table7data!$A:$F,6,FALSE))</f>
        <v>5</v>
      </c>
      <c r="T19" s="38" t="str">
        <f t="shared" si="5"/>
        <v>increase</v>
      </c>
      <c r="U19" s="16">
        <f t="shared" si="13"/>
        <v>5</v>
      </c>
      <c r="V19" s="16" t="str">
        <f t="shared" si="14"/>
        <v>Chignik Salmon Seine</v>
      </c>
    </row>
    <row r="20" spans="1:22" ht="15">
      <c r="A20" s="98" t="s">
        <v>214</v>
      </c>
      <c r="B20" s="24" t="s">
        <v>215</v>
      </c>
      <c r="C20" s="108">
        <f>IF(ISNA(VLOOKUP($B20,Table7data!$A:$F,2,FALSE)),"-",VLOOKUP($B20,Table7data!$A:$F,2,FALSE))</f>
        <v>-7</v>
      </c>
      <c r="D20" s="38" t="str">
        <f t="shared" si="0"/>
        <v>decrease</v>
      </c>
      <c r="E20" s="16">
        <f t="shared" si="6"/>
        <v>-7</v>
      </c>
      <c r="F20" s="16" t="str">
        <f t="shared" si="7"/>
        <v>Pen/Aleutian Salmon Seine</v>
      </c>
      <c r="G20" s="108">
        <f>IF(C20="-","-",VLOOKUP($B20,Table7data!$A:$F,3,FALSE))</f>
        <v>3</v>
      </c>
      <c r="H20" s="38" t="str">
        <f t="shared" si="1"/>
        <v>increase</v>
      </c>
      <c r="I20" s="16">
        <f t="shared" si="8"/>
        <v>3</v>
      </c>
      <c r="J20" s="16" t="str">
        <f t="shared" si="2"/>
        <v>Pen/Aleutian Salmon Seine</v>
      </c>
      <c r="K20" s="108">
        <f>IF(C20="-","-",VLOOKUP($B20,Table7data!$A:$F,4,FALSE))</f>
        <v>0</v>
      </c>
      <c r="L20" s="38" t="str">
        <f t="shared" si="3"/>
        <v>constant</v>
      </c>
      <c r="M20" s="16">
        <f t="shared" si="9"/>
        <v>0</v>
      </c>
      <c r="N20" s="16" t="str">
        <f t="shared" si="10"/>
        <v>Pen/Aleutian Salmon Seine</v>
      </c>
      <c r="O20" s="108">
        <f>IF(C20="-","-",VLOOKUP($B20,Table7data!$A:$F,5,FALSE))</f>
        <v>6</v>
      </c>
      <c r="P20" s="38" t="str">
        <f t="shared" si="4"/>
        <v>increase</v>
      </c>
      <c r="Q20" s="16">
        <f t="shared" si="11"/>
        <v>6</v>
      </c>
      <c r="R20" s="16" t="str">
        <f t="shared" si="12"/>
        <v>Pen/Aleutian Salmon Seine</v>
      </c>
      <c r="S20" s="108">
        <f>IF(C20="-","-",VLOOKUP($B20,Table7data!$A:$F,6,FALSE))</f>
        <v>-2</v>
      </c>
      <c r="T20" s="38" t="str">
        <f t="shared" si="5"/>
        <v>decrease</v>
      </c>
      <c r="U20" s="16">
        <f t="shared" si="13"/>
        <v>-2</v>
      </c>
      <c r="V20" s="16" t="str">
        <f t="shared" si="14"/>
        <v>Pen/Aleutian Salmon Seine</v>
      </c>
    </row>
    <row r="21" spans="1:22" ht="15">
      <c r="A21" s="98" t="s">
        <v>216</v>
      </c>
      <c r="B21" s="24" t="s">
        <v>217</v>
      </c>
      <c r="C21" s="108">
        <f>IF(ISNA(VLOOKUP($B21,Table7data!$A:$F,2,FALSE)),"-",VLOOKUP($B21,Table7data!$A:$F,2,FALSE))</f>
        <v>0</v>
      </c>
      <c r="D21" s="38" t="str">
        <f t="shared" si="0"/>
        <v>constant</v>
      </c>
      <c r="E21" s="16">
        <f t="shared" si="6"/>
        <v>0</v>
      </c>
      <c r="F21" s="16" t="str">
        <f t="shared" si="7"/>
        <v>Pen/Aleutian Salmon Drift</v>
      </c>
      <c r="G21" s="108">
        <f>IF(C21="-","-",VLOOKUP($B21,Table7data!$A:$F,3,FALSE))</f>
        <v>-1</v>
      </c>
      <c r="H21" s="38" t="str">
        <f t="shared" si="1"/>
        <v>decrease</v>
      </c>
      <c r="I21" s="16">
        <f t="shared" si="8"/>
        <v>-1</v>
      </c>
      <c r="J21" s="16" t="str">
        <f t="shared" si="2"/>
        <v>Pen/Aleutian Salmon Drift</v>
      </c>
      <c r="K21" s="108">
        <f>IF(C21="-","-",VLOOKUP($B21,Table7data!$A:$F,4,FALSE))</f>
        <v>-2</v>
      </c>
      <c r="L21" s="38" t="str">
        <f t="shared" si="3"/>
        <v>decrease</v>
      </c>
      <c r="M21" s="16">
        <f t="shared" si="9"/>
        <v>-2</v>
      </c>
      <c r="N21" s="16" t="str">
        <f t="shared" si="10"/>
        <v>Pen/Aleutian Salmon Drift</v>
      </c>
      <c r="O21" s="108">
        <f>IF(C21="-","-",VLOOKUP($B21,Table7data!$A:$F,5,FALSE))</f>
        <v>-7</v>
      </c>
      <c r="P21" s="38" t="str">
        <f t="shared" si="4"/>
        <v>decrease</v>
      </c>
      <c r="Q21" s="16">
        <f t="shared" si="11"/>
        <v>-7</v>
      </c>
      <c r="R21" s="16" t="str">
        <f t="shared" si="12"/>
        <v>Pen/Aleutian Salmon Drift</v>
      </c>
      <c r="S21" s="108">
        <f>IF(C21="-","-",VLOOKUP($B21,Table7data!$A:$F,6,FALSE))</f>
        <v>10</v>
      </c>
      <c r="T21" s="38" t="str">
        <f t="shared" si="5"/>
        <v>increase</v>
      </c>
      <c r="U21" s="16">
        <f t="shared" si="13"/>
        <v>10</v>
      </c>
      <c r="V21" s="16" t="str">
        <f t="shared" si="14"/>
        <v>Pen/Aleutian Salmon Drift</v>
      </c>
    </row>
    <row r="22" spans="1:22" ht="15">
      <c r="A22" s="98" t="s">
        <v>218</v>
      </c>
      <c r="B22" s="24" t="s">
        <v>219</v>
      </c>
      <c r="C22" s="108">
        <f>IF(ISNA(VLOOKUP($B22,Table7data!$A:$F,2,FALSE)),"-",VLOOKUP($B22,Table7data!$A:$F,2,FALSE))</f>
        <v>-28</v>
      </c>
      <c r="D22" s="38" t="str">
        <f t="shared" si="0"/>
        <v>decrease</v>
      </c>
      <c r="E22" s="16">
        <f t="shared" si="6"/>
        <v>-28</v>
      </c>
      <c r="F22" s="16" t="str">
        <f t="shared" si="7"/>
        <v>Pen/Aleutian Salmon Setnet</v>
      </c>
      <c r="G22" s="108">
        <f>IF(C22="-","-",VLOOKUP($B22,Table7data!$A:$F,3,FALSE))</f>
        <v>-1</v>
      </c>
      <c r="H22" s="38" t="str">
        <f t="shared" si="1"/>
        <v>decrease</v>
      </c>
      <c r="I22" s="16">
        <f t="shared" si="8"/>
        <v>-1</v>
      </c>
      <c r="J22" s="16" t="str">
        <f t="shared" si="2"/>
        <v>Pen/Aleutian Salmon Setnet</v>
      </c>
      <c r="K22" s="108">
        <f>IF(C22="-","-",VLOOKUP($B22,Table7data!$A:$F,4,FALSE))</f>
        <v>0</v>
      </c>
      <c r="L22" s="38" t="str">
        <f t="shared" si="3"/>
        <v>constant</v>
      </c>
      <c r="M22" s="16">
        <f t="shared" si="9"/>
        <v>0</v>
      </c>
      <c r="N22" s="16" t="str">
        <f t="shared" si="10"/>
        <v>Pen/Aleutian Salmon Setnet</v>
      </c>
      <c r="O22" s="108">
        <f>IF(C22="-","-",VLOOKUP($B22,Table7data!$A:$F,5,FALSE))</f>
        <v>19</v>
      </c>
      <c r="P22" s="38" t="str">
        <f t="shared" si="4"/>
        <v>increase</v>
      </c>
      <c r="Q22" s="16">
        <f t="shared" si="11"/>
        <v>19</v>
      </c>
      <c r="R22" s="16" t="str">
        <f t="shared" si="12"/>
        <v>Pen/Aleutian Salmon Setnet</v>
      </c>
      <c r="S22" s="108">
        <f>IF(C22="-","-",VLOOKUP($B22,Table7data!$A:$F,6,FALSE))</f>
        <v>10</v>
      </c>
      <c r="T22" s="38" t="str">
        <f t="shared" si="5"/>
        <v>increase</v>
      </c>
      <c r="U22" s="16">
        <f t="shared" si="13"/>
        <v>10</v>
      </c>
      <c r="V22" s="16" t="str">
        <f t="shared" si="14"/>
        <v>Pen/Aleutian Salmon Setnet</v>
      </c>
    </row>
    <row r="23" spans="1:22" ht="15">
      <c r="A23" s="98" t="s">
        <v>220</v>
      </c>
      <c r="B23" s="24" t="s">
        <v>221</v>
      </c>
      <c r="C23" s="108">
        <f>IF(ISNA(VLOOKUP($B23,Table7data!$A:$F,2,FALSE)),"-",VLOOKUP($B23,Table7data!$A:$F,2,FALSE))</f>
        <v>-65</v>
      </c>
      <c r="D23" s="38" t="str">
        <f t="shared" si="0"/>
        <v>decrease</v>
      </c>
      <c r="E23" s="16">
        <f t="shared" si="6"/>
        <v>-65</v>
      </c>
      <c r="F23" s="16" t="str">
        <f t="shared" si="7"/>
        <v>Bristol Bay Salmon Drift</v>
      </c>
      <c r="G23" s="108">
        <f>IF(C23="-","-",VLOOKUP($B23,Table7data!$A:$F,3,FALSE))</f>
        <v>-26</v>
      </c>
      <c r="H23" s="38" t="str">
        <f t="shared" si="1"/>
        <v>decrease</v>
      </c>
      <c r="I23" s="16">
        <f t="shared" si="8"/>
        <v>-26</v>
      </c>
      <c r="J23" s="16" t="str">
        <f t="shared" si="2"/>
        <v>Bristol Bay Salmon Drift</v>
      </c>
      <c r="K23" s="108">
        <f>IF(C23="-","-",VLOOKUP($B23,Table7data!$A:$F,4,FALSE))</f>
        <v>0</v>
      </c>
      <c r="L23" s="38" t="str">
        <f t="shared" si="3"/>
        <v>constant</v>
      </c>
      <c r="M23" s="16">
        <f t="shared" si="9"/>
        <v>0</v>
      </c>
      <c r="N23" s="16" t="str">
        <f t="shared" si="10"/>
        <v>Bristol Bay Salmon Drift</v>
      </c>
      <c r="O23" s="108">
        <f>IF(C23="-","-",VLOOKUP($B23,Table7data!$A:$F,5,FALSE))</f>
        <v>-23</v>
      </c>
      <c r="P23" s="38" t="str">
        <f t="shared" si="4"/>
        <v>decrease</v>
      </c>
      <c r="Q23" s="16">
        <f t="shared" si="11"/>
        <v>-23</v>
      </c>
      <c r="R23" s="16" t="str">
        <f t="shared" si="12"/>
        <v>Bristol Bay Salmon Drift</v>
      </c>
      <c r="S23" s="108">
        <f>IF(C23="-","-",VLOOKUP($B23,Table7data!$A:$F,6,FALSE))</f>
        <v>114</v>
      </c>
      <c r="T23" s="38" t="str">
        <f t="shared" si="5"/>
        <v>increase</v>
      </c>
      <c r="U23" s="16">
        <f t="shared" si="13"/>
        <v>114</v>
      </c>
      <c r="V23" s="16" t="str">
        <f t="shared" si="14"/>
        <v>Bristol Bay Salmon Drift</v>
      </c>
    </row>
    <row r="24" spans="1:22" ht="15">
      <c r="A24" s="98" t="s">
        <v>222</v>
      </c>
      <c r="B24" s="24" t="s">
        <v>223</v>
      </c>
      <c r="C24" s="109">
        <f>IF(ISNA(VLOOKUP($B24,Table7data!$A:$F,2,FALSE)),"-",VLOOKUP($B24,Table7data!$A:$F,2,FALSE))</f>
        <v>-126</v>
      </c>
      <c r="D24" s="38" t="str">
        <f t="shared" si="0"/>
        <v>decrease</v>
      </c>
      <c r="E24" s="16">
        <f t="shared" si="6"/>
        <v>-126</v>
      </c>
      <c r="F24" s="16" t="str">
        <f t="shared" si="7"/>
        <v>Bristol Bay Salmon Setnet</v>
      </c>
      <c r="G24" s="109">
        <f>IF(C24="-","-",VLOOKUP($B24,Table7data!$A:$F,3,FALSE))</f>
        <v>-5</v>
      </c>
      <c r="H24" s="38" t="str">
        <f t="shared" si="1"/>
        <v>decrease</v>
      </c>
      <c r="I24" s="16">
        <f t="shared" si="8"/>
        <v>-5</v>
      </c>
      <c r="J24" s="16" t="str">
        <f t="shared" si="2"/>
        <v>Bristol Bay Salmon Setnet</v>
      </c>
      <c r="K24" s="109">
        <f>IF(C24="-","-",VLOOKUP($B24,Table7data!$A:$F,4,FALSE))</f>
        <v>0</v>
      </c>
      <c r="L24" s="38" t="str">
        <f t="shared" si="3"/>
        <v>constant</v>
      </c>
      <c r="M24" s="16">
        <f t="shared" si="9"/>
        <v>0</v>
      </c>
      <c r="N24" s="16" t="str">
        <f t="shared" si="10"/>
        <v>Bristol Bay Salmon Setnet</v>
      </c>
      <c r="O24" s="109">
        <f>IF(C24="-","-",VLOOKUP($B24,Table7data!$A:$F,5,FALSE))</f>
        <v>48</v>
      </c>
      <c r="P24" s="38" t="str">
        <f t="shared" si="4"/>
        <v>increase</v>
      </c>
      <c r="Q24" s="16">
        <f t="shared" si="11"/>
        <v>48</v>
      </c>
      <c r="R24" s="16" t="str">
        <f t="shared" si="12"/>
        <v>Bristol Bay Salmon Setnet</v>
      </c>
      <c r="S24" s="109">
        <f>IF(C24="-","-",VLOOKUP($B24,Table7data!$A:$F,6,FALSE))</f>
        <v>83</v>
      </c>
      <c r="T24" s="38" t="str">
        <f t="shared" si="5"/>
        <v>increase</v>
      </c>
      <c r="U24" s="16">
        <f t="shared" si="13"/>
        <v>83</v>
      </c>
      <c r="V24" s="16" t="str">
        <f t="shared" si="14"/>
        <v>Bristol Bay Salmon Setnet</v>
      </c>
    </row>
    <row r="25" spans="2:22" s="58" customFormat="1" ht="15">
      <c r="B25" s="29"/>
      <c r="C25" s="110">
        <f>SUM(C6:C24)</f>
        <v>-414</v>
      </c>
      <c r="D25" s="110"/>
      <c r="E25" s="110"/>
      <c r="F25" s="110"/>
      <c r="G25" s="110">
        <f>SUM(G6:G24)</f>
        <v>-56</v>
      </c>
      <c r="H25" s="110"/>
      <c r="I25" s="110"/>
      <c r="J25" s="110"/>
      <c r="K25" s="110">
        <f>SUM(K6:K24)</f>
        <v>-207</v>
      </c>
      <c r="L25" s="110"/>
      <c r="M25" s="110"/>
      <c r="N25" s="110"/>
      <c r="O25" s="110">
        <f>SUM(O6:O24)</f>
        <v>111</v>
      </c>
      <c r="P25" s="110"/>
      <c r="Q25" s="110"/>
      <c r="R25" s="110"/>
      <c r="S25" s="110">
        <f>SUM(S6:S24)</f>
        <v>566</v>
      </c>
      <c r="T25" s="110"/>
      <c r="U25" s="110"/>
      <c r="V25" s="110"/>
    </row>
    <row r="27" spans="1:2" ht="15">
      <c r="A27" s="54" t="s">
        <v>432</v>
      </c>
      <c r="B27" s="24"/>
    </row>
    <row r="28" spans="1:22" ht="15">
      <c r="A28" s="98" t="s">
        <v>224</v>
      </c>
      <c r="B28" s="24" t="s">
        <v>225</v>
      </c>
      <c r="C28" s="108">
        <f>IF(ISNA(VLOOKUP($B28,Table7data!$A:$F,2,FALSE)),"-",VLOOKUP($B28,Table7data!$A:$F,2,FALSE))</f>
        <v>-23</v>
      </c>
      <c r="D28" s="38" t="str">
        <f aca="true" t="shared" si="15" ref="D28:D33">IF(C28="-","none",IF(C28&lt;0,"decrease",IF(C28=0,"constant","increase")))</f>
        <v>decrease</v>
      </c>
      <c r="E28" s="16">
        <f aca="true" t="shared" si="16" ref="E28:E33">C28</f>
        <v>-23</v>
      </c>
      <c r="F28" s="16" t="str">
        <f aca="true" t="shared" si="17" ref="F28:F33">A28</f>
        <v>Upper Yukon Salmon Gillnet</v>
      </c>
      <c r="G28" s="108">
        <f>IF(C28="-","-",VLOOKUP($B28,Table7data!$A:$F,3,FALSE))</f>
        <v>1</v>
      </c>
      <c r="H28" s="38" t="str">
        <f aca="true" t="shared" si="18" ref="H28:H33">IF(G28="-","none",IF(G28&lt;0,"decrease",IF(G28=0,"constant","increase")))</f>
        <v>increase</v>
      </c>
      <c r="I28" s="16">
        <f aca="true" t="shared" si="19" ref="I28:I33">G28</f>
        <v>1</v>
      </c>
      <c r="J28" s="16" t="str">
        <f aca="true" t="shared" si="20" ref="J28:J33">F28</f>
        <v>Upper Yukon Salmon Gillnet</v>
      </c>
      <c r="K28" s="108">
        <f>IF(C28="-","-",VLOOKUP($B28,Table7data!$A:$F,4,FALSE))</f>
        <v>14</v>
      </c>
      <c r="L28" s="38" t="str">
        <f aca="true" t="shared" si="21" ref="L28:L33">IF(K28="-","none",IF(K28&lt;0,"decrease",IF(K28=0,"constant","increase")))</f>
        <v>increase</v>
      </c>
      <c r="M28" s="16">
        <f aca="true" t="shared" si="22" ref="M28:M33">K28</f>
        <v>14</v>
      </c>
      <c r="N28" s="16" t="str">
        <f aca="true" t="shared" si="23" ref="N28:N33">J28</f>
        <v>Upper Yukon Salmon Gillnet</v>
      </c>
      <c r="O28" s="108">
        <f>IF(C28="-","-",VLOOKUP($B28,Table7data!$A:$F,5,FALSE))</f>
        <v>3</v>
      </c>
      <c r="P28" s="38" t="str">
        <f aca="true" t="shared" si="24" ref="P28:P33">IF(O28="-","none",IF(O28&lt;0,"decrease",IF(O28=0,"constant","increase")))</f>
        <v>increase</v>
      </c>
      <c r="Q28" s="16">
        <f aca="true" t="shared" si="25" ref="Q28:Q33">O28</f>
        <v>3</v>
      </c>
      <c r="R28" s="16" t="str">
        <f aca="true" t="shared" si="26" ref="R28:R33">N28</f>
        <v>Upper Yukon Salmon Gillnet</v>
      </c>
      <c r="S28" s="108">
        <f>IF(C28="-","-",VLOOKUP($B28,Table7data!$A:$F,6,FALSE))</f>
        <v>5</v>
      </c>
      <c r="T28" s="38" t="str">
        <f aca="true" t="shared" si="27" ref="T28:T33">IF(S28="-","none",IF(S28&lt;0,"decrease",IF(S28=0,"constant","increase")))</f>
        <v>increase</v>
      </c>
      <c r="U28" s="16">
        <f aca="true" t="shared" si="28" ref="U28:U33">S28</f>
        <v>5</v>
      </c>
      <c r="V28" s="16" t="str">
        <f aca="true" t="shared" si="29" ref="V28:V33">R28</f>
        <v>Upper Yukon Salmon Gillnet</v>
      </c>
    </row>
    <row r="29" spans="1:22" ht="15">
      <c r="A29" s="98" t="s">
        <v>226</v>
      </c>
      <c r="B29" s="24" t="s">
        <v>227</v>
      </c>
      <c r="C29" s="108">
        <f>IF(ISNA(VLOOKUP($B29,Table7data!$A:$F,2,FALSE)),"-",VLOOKUP($B29,Table7data!$A:$F,2,FALSE))</f>
        <v>-35</v>
      </c>
      <c r="D29" s="38" t="str">
        <f t="shared" si="15"/>
        <v>decrease</v>
      </c>
      <c r="E29" s="16">
        <f t="shared" si="16"/>
        <v>-35</v>
      </c>
      <c r="F29" s="16" t="str">
        <f t="shared" si="17"/>
        <v>U Yukon Salmon Fish Wheel</v>
      </c>
      <c r="G29" s="108">
        <f>IF(C29="-","-",VLOOKUP($B29,Table7data!$A:$F,3,FALSE))</f>
        <v>7</v>
      </c>
      <c r="H29" s="38" t="str">
        <f t="shared" si="18"/>
        <v>increase</v>
      </c>
      <c r="I29" s="16">
        <f t="shared" si="19"/>
        <v>7</v>
      </c>
      <c r="J29" s="16" t="str">
        <f t="shared" si="20"/>
        <v>U Yukon Salmon Fish Wheel</v>
      </c>
      <c r="K29" s="108">
        <f>IF(C29="-","-",VLOOKUP($B29,Table7data!$A:$F,4,FALSE))</f>
        <v>16</v>
      </c>
      <c r="L29" s="38" t="str">
        <f t="shared" si="21"/>
        <v>increase</v>
      </c>
      <c r="M29" s="16">
        <f t="shared" si="22"/>
        <v>16</v>
      </c>
      <c r="N29" s="16" t="str">
        <f t="shared" si="23"/>
        <v>U Yukon Salmon Fish Wheel</v>
      </c>
      <c r="O29" s="108">
        <f>IF(C29="-","-",VLOOKUP($B29,Table7data!$A:$F,5,FALSE))</f>
        <v>9</v>
      </c>
      <c r="P29" s="38" t="str">
        <f t="shared" si="24"/>
        <v>increase</v>
      </c>
      <c r="Q29" s="16">
        <f t="shared" si="25"/>
        <v>9</v>
      </c>
      <c r="R29" s="16" t="str">
        <f t="shared" si="26"/>
        <v>U Yukon Salmon Fish Wheel</v>
      </c>
      <c r="S29" s="108">
        <f>IF(C29="-","-",VLOOKUP($B29,Table7data!$A:$F,6,FALSE))</f>
        <v>3</v>
      </c>
      <c r="T29" s="38" t="str">
        <f t="shared" si="27"/>
        <v>increase</v>
      </c>
      <c r="U29" s="16">
        <f t="shared" si="28"/>
        <v>3</v>
      </c>
      <c r="V29" s="16" t="str">
        <f t="shared" si="29"/>
        <v>U Yukon Salmon Fish Wheel</v>
      </c>
    </row>
    <row r="30" spans="1:22" ht="15">
      <c r="A30" s="98" t="s">
        <v>228</v>
      </c>
      <c r="B30" s="24" t="s">
        <v>229</v>
      </c>
      <c r="C30" s="108">
        <f>IF(ISNA(VLOOKUP($B30,Table7data!$A:$F,2,FALSE)),"-",VLOOKUP($B30,Table7data!$A:$F,2,FALSE))</f>
        <v>-71</v>
      </c>
      <c r="D30" s="38" t="str">
        <f t="shared" si="15"/>
        <v>decrease</v>
      </c>
      <c r="E30" s="16">
        <f t="shared" si="16"/>
        <v>-71</v>
      </c>
      <c r="F30" s="16" t="str">
        <f t="shared" si="17"/>
        <v>Kuskokwim Salmon Gillnet</v>
      </c>
      <c r="G30" s="108">
        <f>IF(C30="-","-",VLOOKUP($B30,Table7data!$A:$F,3,FALSE))</f>
        <v>9</v>
      </c>
      <c r="H30" s="38" t="str">
        <f t="shared" si="18"/>
        <v>increase</v>
      </c>
      <c r="I30" s="16">
        <f t="shared" si="19"/>
        <v>9</v>
      </c>
      <c r="J30" s="16" t="str">
        <f t="shared" si="20"/>
        <v>Kuskokwim Salmon Gillnet</v>
      </c>
      <c r="K30" s="108">
        <f>IF(C30="-","-",VLOOKUP($B30,Table7data!$A:$F,4,FALSE))</f>
        <v>9</v>
      </c>
      <c r="L30" s="38" t="str">
        <f t="shared" si="21"/>
        <v>increase</v>
      </c>
      <c r="M30" s="16">
        <f t="shared" si="22"/>
        <v>9</v>
      </c>
      <c r="N30" s="16" t="str">
        <f t="shared" si="23"/>
        <v>Kuskokwim Salmon Gillnet</v>
      </c>
      <c r="O30" s="108">
        <f>IF(C30="-","-",VLOOKUP($B30,Table7data!$A:$F,5,FALSE))</f>
        <v>44</v>
      </c>
      <c r="P30" s="38" t="str">
        <f t="shared" si="24"/>
        <v>increase</v>
      </c>
      <c r="Q30" s="16">
        <f t="shared" si="25"/>
        <v>44</v>
      </c>
      <c r="R30" s="16" t="str">
        <f t="shared" si="26"/>
        <v>Kuskokwim Salmon Gillnet</v>
      </c>
      <c r="S30" s="108">
        <f>IF(C30="-","-",VLOOKUP($B30,Table7data!$A:$F,6,FALSE))</f>
        <v>9</v>
      </c>
      <c r="T30" s="38" t="str">
        <f t="shared" si="27"/>
        <v>increase</v>
      </c>
      <c r="U30" s="16">
        <f t="shared" si="28"/>
        <v>9</v>
      </c>
      <c r="V30" s="16" t="str">
        <f t="shared" si="29"/>
        <v>Kuskokwim Salmon Gillnet</v>
      </c>
    </row>
    <row r="31" spans="1:22" ht="15">
      <c r="A31" s="98" t="s">
        <v>230</v>
      </c>
      <c r="B31" s="24" t="s">
        <v>231</v>
      </c>
      <c r="C31" s="108">
        <f>IF(ISNA(VLOOKUP($B31,Table7data!$A:$F,2,FALSE)),"-",VLOOKUP($B31,Table7data!$A:$F,2,FALSE))</f>
        <v>-11</v>
      </c>
      <c r="D31" s="38" t="str">
        <f t="shared" si="15"/>
        <v>decrease</v>
      </c>
      <c r="E31" s="16">
        <f t="shared" si="16"/>
        <v>-11</v>
      </c>
      <c r="F31" s="16" t="str">
        <f t="shared" si="17"/>
        <v>Kotzebue Salmon Gillnet</v>
      </c>
      <c r="G31" s="108">
        <f>IF(C31="-","-",VLOOKUP($B31,Table7data!$A:$F,3,FALSE))</f>
        <v>4</v>
      </c>
      <c r="H31" s="38" t="str">
        <f t="shared" si="18"/>
        <v>increase</v>
      </c>
      <c r="I31" s="16">
        <f t="shared" si="19"/>
        <v>4</v>
      </c>
      <c r="J31" s="16" t="str">
        <f t="shared" si="20"/>
        <v>Kotzebue Salmon Gillnet</v>
      </c>
      <c r="K31" s="108">
        <f>IF(C31="-","-",VLOOKUP($B31,Table7data!$A:$F,4,FALSE))</f>
        <v>-29</v>
      </c>
      <c r="L31" s="38" t="str">
        <f t="shared" si="21"/>
        <v>decrease</v>
      </c>
      <c r="M31" s="16">
        <f t="shared" si="22"/>
        <v>-29</v>
      </c>
      <c r="N31" s="16" t="str">
        <f t="shared" si="23"/>
        <v>Kotzebue Salmon Gillnet</v>
      </c>
      <c r="O31" s="108">
        <f>IF(C31="-","-",VLOOKUP($B31,Table7data!$A:$F,5,FALSE))</f>
        <v>28</v>
      </c>
      <c r="P31" s="38" t="str">
        <f t="shared" si="24"/>
        <v>increase</v>
      </c>
      <c r="Q31" s="16">
        <f t="shared" si="25"/>
        <v>28</v>
      </c>
      <c r="R31" s="16" t="str">
        <f t="shared" si="26"/>
        <v>Kotzebue Salmon Gillnet</v>
      </c>
      <c r="S31" s="108">
        <f>IF(C31="-","-",VLOOKUP($B31,Table7data!$A:$F,6,FALSE))</f>
        <v>8</v>
      </c>
      <c r="T31" s="38" t="str">
        <f t="shared" si="27"/>
        <v>increase</v>
      </c>
      <c r="U31" s="16">
        <f t="shared" si="28"/>
        <v>8</v>
      </c>
      <c r="V31" s="16" t="str">
        <f t="shared" si="29"/>
        <v>Kotzebue Salmon Gillnet</v>
      </c>
    </row>
    <row r="32" spans="1:22" ht="15">
      <c r="A32" s="98" t="s">
        <v>232</v>
      </c>
      <c r="B32" s="24" t="s">
        <v>233</v>
      </c>
      <c r="C32" s="108">
        <f>IF(ISNA(VLOOKUP($B32,Table7data!$A:$F,2,FALSE)),"-",VLOOKUP($B32,Table7data!$A:$F,2,FALSE))</f>
        <v>-111</v>
      </c>
      <c r="D32" s="38" t="str">
        <f t="shared" si="15"/>
        <v>decrease</v>
      </c>
      <c r="E32" s="16">
        <f t="shared" si="16"/>
        <v>-111</v>
      </c>
      <c r="F32" s="16" t="str">
        <f t="shared" si="17"/>
        <v>Lower Yukon Salmon Gillnet</v>
      </c>
      <c r="G32" s="108">
        <f>IF(C32="-","-",VLOOKUP($B32,Table7data!$A:$F,3,FALSE))</f>
        <v>36</v>
      </c>
      <c r="H32" s="38" t="str">
        <f t="shared" si="18"/>
        <v>increase</v>
      </c>
      <c r="I32" s="16">
        <f t="shared" si="19"/>
        <v>36</v>
      </c>
      <c r="J32" s="16" t="str">
        <f t="shared" si="20"/>
        <v>Lower Yukon Salmon Gillnet</v>
      </c>
      <c r="K32" s="108">
        <f>IF(C32="-","-",VLOOKUP($B32,Table7data!$A:$F,4,FALSE))</f>
        <v>0</v>
      </c>
      <c r="L32" s="38" t="str">
        <f t="shared" si="21"/>
        <v>constant</v>
      </c>
      <c r="M32" s="16">
        <f t="shared" si="22"/>
        <v>0</v>
      </c>
      <c r="N32" s="16" t="str">
        <f t="shared" si="23"/>
        <v>Lower Yukon Salmon Gillnet</v>
      </c>
      <c r="O32" s="108">
        <f>IF(C32="-","-",VLOOKUP($B32,Table7data!$A:$F,5,FALSE))</f>
        <v>62</v>
      </c>
      <c r="P32" s="38" t="str">
        <f t="shared" si="24"/>
        <v>increase</v>
      </c>
      <c r="Q32" s="16">
        <f t="shared" si="25"/>
        <v>62</v>
      </c>
      <c r="R32" s="16" t="str">
        <f t="shared" si="26"/>
        <v>Lower Yukon Salmon Gillnet</v>
      </c>
      <c r="S32" s="108">
        <f>IF(C32="-","-",VLOOKUP($B32,Table7data!$A:$F,6,FALSE))</f>
        <v>13</v>
      </c>
      <c r="T32" s="38" t="str">
        <f t="shared" si="27"/>
        <v>increase</v>
      </c>
      <c r="U32" s="16">
        <f t="shared" si="28"/>
        <v>13</v>
      </c>
      <c r="V32" s="16" t="str">
        <f t="shared" si="29"/>
        <v>Lower Yukon Salmon Gillnet</v>
      </c>
    </row>
    <row r="33" spans="1:22" ht="15">
      <c r="A33" s="98" t="s">
        <v>234</v>
      </c>
      <c r="B33" s="24" t="s">
        <v>235</v>
      </c>
      <c r="C33" s="109">
        <f>IF(ISNA(VLOOKUP($B33,Table7data!$A:$F,2,FALSE)),"-",VLOOKUP($B33,Table7data!$A:$F,2,FALSE))</f>
        <v>-31</v>
      </c>
      <c r="D33" s="38" t="str">
        <f t="shared" si="15"/>
        <v>decrease</v>
      </c>
      <c r="E33" s="16">
        <f t="shared" si="16"/>
        <v>-31</v>
      </c>
      <c r="F33" s="16" t="str">
        <f t="shared" si="17"/>
        <v>Norton Sound Salmon Gillnet</v>
      </c>
      <c r="G33" s="109">
        <f>IF(C33="-","-",VLOOKUP($B33,Table7data!$A:$F,3,FALSE))</f>
        <v>9</v>
      </c>
      <c r="H33" s="38" t="str">
        <f t="shared" si="18"/>
        <v>increase</v>
      </c>
      <c r="I33" s="16">
        <f t="shared" si="19"/>
        <v>9</v>
      </c>
      <c r="J33" s="16" t="str">
        <f t="shared" si="20"/>
        <v>Norton Sound Salmon Gillnet</v>
      </c>
      <c r="K33" s="109">
        <f>IF(C33="-","-",VLOOKUP($B33,Table7data!$A:$F,4,FALSE))</f>
        <v>2</v>
      </c>
      <c r="L33" s="38" t="str">
        <f t="shared" si="21"/>
        <v>increase</v>
      </c>
      <c r="M33" s="16">
        <f t="shared" si="22"/>
        <v>2</v>
      </c>
      <c r="N33" s="16" t="str">
        <f t="shared" si="23"/>
        <v>Norton Sound Salmon Gillnet</v>
      </c>
      <c r="O33" s="109">
        <f>IF(C33="-","-",VLOOKUP($B33,Table7data!$A:$F,5,FALSE))</f>
        <v>19</v>
      </c>
      <c r="P33" s="38" t="str">
        <f t="shared" si="24"/>
        <v>increase</v>
      </c>
      <c r="Q33" s="16">
        <f t="shared" si="25"/>
        <v>19</v>
      </c>
      <c r="R33" s="16" t="str">
        <f t="shared" si="26"/>
        <v>Norton Sound Salmon Gillnet</v>
      </c>
      <c r="S33" s="109">
        <f>IF(C33="-","-",VLOOKUP($B33,Table7data!$A:$F,6,FALSE))</f>
        <v>1</v>
      </c>
      <c r="T33" s="38" t="str">
        <f t="shared" si="27"/>
        <v>increase</v>
      </c>
      <c r="U33" s="16">
        <f t="shared" si="28"/>
        <v>1</v>
      </c>
      <c r="V33" s="16" t="str">
        <f t="shared" si="29"/>
        <v>Norton Sound Salmon Gillnet</v>
      </c>
    </row>
    <row r="34" spans="2:22" s="58" customFormat="1" ht="15">
      <c r="B34" s="29"/>
      <c r="C34" s="110">
        <f>SUM(C28:C33)</f>
        <v>-282</v>
      </c>
      <c r="D34" s="110"/>
      <c r="E34" s="110"/>
      <c r="F34" s="110"/>
      <c r="G34" s="110">
        <f>SUM(G28:G33)</f>
        <v>66</v>
      </c>
      <c r="H34" s="110"/>
      <c r="I34" s="110"/>
      <c r="J34" s="110"/>
      <c r="K34" s="110">
        <f>SUM(K28:K33)</f>
        <v>12</v>
      </c>
      <c r="L34" s="110"/>
      <c r="M34" s="110"/>
      <c r="N34" s="110"/>
      <c r="O34" s="110">
        <f>SUM(O28:O33)</f>
        <v>165</v>
      </c>
      <c r="P34" s="110"/>
      <c r="Q34" s="110"/>
      <c r="R34" s="110"/>
      <c r="S34" s="110">
        <f>SUM(S28:S33)</f>
        <v>39</v>
      </c>
      <c r="T34" s="110"/>
      <c r="U34" s="110"/>
      <c r="V34" s="110"/>
    </row>
    <row r="35" spans="1:2" ht="15">
      <c r="A35" s="53"/>
      <c r="B35" s="24"/>
    </row>
    <row r="36" spans="1:2" ht="15">
      <c r="A36" s="54" t="s">
        <v>391</v>
      </c>
      <c r="B36" s="24"/>
    </row>
    <row r="37" spans="1:22" ht="15">
      <c r="A37" s="98" t="s">
        <v>237</v>
      </c>
      <c r="B37" s="24" t="s">
        <v>238</v>
      </c>
      <c r="C37" s="108">
        <f>IF(ISNA(VLOOKUP($B37,Table7data!$A:$F,2,FALSE)),"-",VLOOKUP($B37,Table7data!$A:$F,2,FALSE))</f>
        <v>-1</v>
      </c>
      <c r="D37" s="38" t="str">
        <f>IF(C37="-","none",IF(C37&lt;0,"decrease",IF(C37=0,"constant","increase")))</f>
        <v>decrease</v>
      </c>
      <c r="E37" s="16">
        <f>C37</f>
        <v>-1</v>
      </c>
      <c r="F37" s="16" t="str">
        <f>A37</f>
        <v>SE Roe Herring Seine</v>
      </c>
      <c r="G37" s="108">
        <f>IF(C37="-","-",VLOOKUP($B37,Table7data!$A:$F,3,FALSE))</f>
        <v>0</v>
      </c>
      <c r="H37" s="38" t="str">
        <f>IF(G37="-","none",IF(G37&lt;0,"decrease",IF(G37=0,"constant","increase")))</f>
        <v>constant</v>
      </c>
      <c r="I37" s="16">
        <f>G37</f>
        <v>0</v>
      </c>
      <c r="J37" s="16" t="str">
        <f>F37</f>
        <v>SE Roe Herring Seine</v>
      </c>
      <c r="K37" s="108">
        <f>IF(C37="-","-",VLOOKUP($B37,Table7data!$A:$F,4,FALSE))</f>
        <v>1</v>
      </c>
      <c r="L37" s="38" t="str">
        <f>IF(K37="-","none",IF(K37&lt;0,"decrease",IF(K37=0,"constant","increase")))</f>
        <v>increase</v>
      </c>
      <c r="M37" s="16">
        <f>K37</f>
        <v>1</v>
      </c>
      <c r="N37" s="16" t="str">
        <f>J37</f>
        <v>SE Roe Herring Seine</v>
      </c>
      <c r="O37" s="108">
        <f>IF(C37="-","-",VLOOKUP($B37,Table7data!$A:$F,5,FALSE))</f>
        <v>0</v>
      </c>
      <c r="P37" s="38" t="str">
        <f>IF(O37="-","none",IF(O37&lt;0,"decrease",IF(O37=0,"constant","increase")))</f>
        <v>constant</v>
      </c>
      <c r="Q37" s="16">
        <f>O37</f>
        <v>0</v>
      </c>
      <c r="R37" s="16" t="str">
        <f>N37</f>
        <v>SE Roe Herring Seine</v>
      </c>
      <c r="S37" s="108">
        <f>IF(C37="-","-",VLOOKUP($B37,Table7data!$A:$F,6,FALSE))</f>
        <v>0</v>
      </c>
      <c r="T37" s="38" t="str">
        <f>IF(S37="-","none",IF(S37&lt;0,"decrease",IF(S37=0,"constant","increase")))</f>
        <v>constant</v>
      </c>
      <c r="U37" s="16">
        <f>S37</f>
        <v>0</v>
      </c>
      <c r="V37" s="16" t="str">
        <f>R37</f>
        <v>SE Roe Herring Seine</v>
      </c>
    </row>
    <row r="38" spans="1:22" ht="15">
      <c r="A38" s="98" t="s">
        <v>239</v>
      </c>
      <c r="B38" s="24" t="s">
        <v>240</v>
      </c>
      <c r="C38" s="108">
        <f>IF(ISNA(VLOOKUP($B38,Table7data!$A:$F,2,FALSE)),"-",VLOOKUP($B38,Table7data!$A:$F,2,FALSE))</f>
        <v>1</v>
      </c>
      <c r="D38" s="38" t="str">
        <f>IF(C38="-","none",IF(C38&lt;0,"decrease",IF(C38=0,"constant","increase")))</f>
        <v>increase</v>
      </c>
      <c r="E38" s="16">
        <f>C38</f>
        <v>1</v>
      </c>
      <c r="F38" s="16" t="str">
        <f>A38</f>
        <v>SE Herring Gillnet</v>
      </c>
      <c r="G38" s="108">
        <f>IF(C38="-","-",VLOOKUP($B38,Table7data!$A:$F,3,FALSE))</f>
        <v>-1</v>
      </c>
      <c r="H38" s="38" t="str">
        <f>IF(G38="-","none",IF(G38&lt;0,"decrease",IF(G38=0,"constant","increase")))</f>
        <v>decrease</v>
      </c>
      <c r="I38" s="16">
        <f>G38</f>
        <v>-1</v>
      </c>
      <c r="J38" s="16" t="str">
        <f>F38</f>
        <v>SE Herring Gillnet</v>
      </c>
      <c r="K38" s="108">
        <f>IF(C38="-","-",VLOOKUP($B38,Table7data!$A:$F,4,FALSE))</f>
        <v>-11</v>
      </c>
      <c r="L38" s="38" t="str">
        <f>IF(K38="-","none",IF(K38&lt;0,"decrease",IF(K38=0,"constant","increase")))</f>
        <v>decrease</v>
      </c>
      <c r="M38" s="16">
        <f>K38</f>
        <v>-11</v>
      </c>
      <c r="N38" s="16" t="str">
        <f>J38</f>
        <v>SE Herring Gillnet</v>
      </c>
      <c r="O38" s="108">
        <f>IF(C38="-","-",VLOOKUP($B38,Table7data!$A:$F,5,FALSE))</f>
        <v>0</v>
      </c>
      <c r="P38" s="38" t="str">
        <f>IF(O38="-","none",IF(O38&lt;0,"decrease",IF(O38=0,"constant","increase")))</f>
        <v>constant</v>
      </c>
      <c r="Q38" s="16">
        <f>O38</f>
        <v>0</v>
      </c>
      <c r="R38" s="16" t="str">
        <f>N38</f>
        <v>SE Herring Gillnet</v>
      </c>
      <c r="S38" s="108">
        <f>IF(C38="-","-",VLOOKUP($B38,Table7data!$A:$F,6,FALSE))</f>
        <v>11</v>
      </c>
      <c r="T38" s="38" t="str">
        <f>IF(S38="-","none",IF(S38&lt;0,"decrease",IF(S38=0,"constant","increase")))</f>
        <v>increase</v>
      </c>
      <c r="U38" s="16">
        <f>S38</f>
        <v>11</v>
      </c>
      <c r="V38" s="16" t="str">
        <f>R38</f>
        <v>SE Herring Gillnet</v>
      </c>
    </row>
    <row r="39" spans="1:22" ht="15">
      <c r="A39" s="98" t="s">
        <v>241</v>
      </c>
      <c r="B39" s="24" t="s">
        <v>242</v>
      </c>
      <c r="C39" s="108">
        <f>IF(ISNA(VLOOKUP($B39,Table7data!$A:$F,2,FALSE)),"-",VLOOKUP($B39,Table7data!$A:$F,2,FALSE))</f>
        <v>-14</v>
      </c>
      <c r="D39" s="38" t="str">
        <f>IF(C39="-","none",IF(C39&lt;0,"decrease",IF(C39=0,"constant","increase")))</f>
        <v>decrease</v>
      </c>
      <c r="E39" s="16">
        <f>C39</f>
        <v>-14</v>
      </c>
      <c r="F39" s="16" t="str">
        <f>A39</f>
        <v>PWS Roe Herring Seine</v>
      </c>
      <c r="G39" s="108">
        <f>IF(C39="-","-",VLOOKUP($B39,Table7data!$A:$F,3,FALSE))</f>
        <v>-4</v>
      </c>
      <c r="H39" s="38" t="str">
        <f>IF(G39="-","none",IF(G39&lt;0,"decrease",IF(G39=0,"constant","increase")))</f>
        <v>decrease</v>
      </c>
      <c r="I39" s="16">
        <f>G39</f>
        <v>-4</v>
      </c>
      <c r="J39" s="16" t="str">
        <f>F39</f>
        <v>PWS Roe Herring Seine</v>
      </c>
      <c r="K39" s="108">
        <f>IF(C39="-","-",VLOOKUP($B39,Table7data!$A:$F,4,FALSE))</f>
        <v>0</v>
      </c>
      <c r="L39" s="38" t="str">
        <f>IF(K39="-","none",IF(K39&lt;0,"decrease",IF(K39=0,"constant","increase")))</f>
        <v>constant</v>
      </c>
      <c r="M39" s="16">
        <f>K39</f>
        <v>0</v>
      </c>
      <c r="N39" s="16" t="str">
        <f>J39</f>
        <v>PWS Roe Herring Seine</v>
      </c>
      <c r="O39" s="108">
        <f>IF(C39="-","-",VLOOKUP($B39,Table7data!$A:$F,5,FALSE))</f>
        <v>-5</v>
      </c>
      <c r="P39" s="38" t="str">
        <f>IF(O39="-","none",IF(O39&lt;0,"decrease",IF(O39=0,"constant","increase")))</f>
        <v>decrease</v>
      </c>
      <c r="Q39" s="16">
        <f>O39</f>
        <v>-5</v>
      </c>
      <c r="R39" s="16" t="str">
        <f>N39</f>
        <v>PWS Roe Herring Seine</v>
      </c>
      <c r="S39" s="108">
        <f>IF(C39="-","-",VLOOKUP($B39,Table7data!$A:$F,6,FALSE))</f>
        <v>23</v>
      </c>
      <c r="T39" s="38" t="str">
        <f>IF(S39="-","none",IF(S39&lt;0,"decrease",IF(S39=0,"constant","increase")))</f>
        <v>increase</v>
      </c>
      <c r="U39" s="16">
        <f>S39</f>
        <v>23</v>
      </c>
      <c r="V39" s="16" t="str">
        <f>R39</f>
        <v>PWS Roe Herring Seine</v>
      </c>
    </row>
    <row r="40" spans="1:22" ht="15">
      <c r="A40" s="98" t="s">
        <v>243</v>
      </c>
      <c r="B40" s="24" t="s">
        <v>244</v>
      </c>
      <c r="C40" s="109">
        <f>IF(ISNA(VLOOKUP($B40,Table7data!$A:$F,2,FALSE)),"-",VLOOKUP($B40,Table7data!$A:$F,2,FALSE))</f>
        <v>-6</v>
      </c>
      <c r="D40" s="38" t="str">
        <f>IF(C40="-","none",IF(C40&lt;0,"decrease",IF(C40=0,"constant","increase")))</f>
        <v>decrease</v>
      </c>
      <c r="E40" s="16">
        <f>C40</f>
        <v>-6</v>
      </c>
      <c r="F40" s="16" t="str">
        <f>A40</f>
        <v>Cook Inlet Herring Seine</v>
      </c>
      <c r="G40" s="109">
        <f>IF(C40="-","-",VLOOKUP($B40,Table7data!$A:$F,3,FALSE))</f>
        <v>3</v>
      </c>
      <c r="H40" s="38" t="str">
        <f>IF(G40="-","none",IF(G40&lt;0,"decrease",IF(G40=0,"constant","increase")))</f>
        <v>increase</v>
      </c>
      <c r="I40" s="16">
        <f>G40</f>
        <v>3</v>
      </c>
      <c r="J40" s="16" t="str">
        <f>F40</f>
        <v>Cook Inlet Herring Seine</v>
      </c>
      <c r="K40" s="109">
        <f>IF(C40="-","-",VLOOKUP($B40,Table7data!$A:$F,4,FALSE))</f>
        <v>3</v>
      </c>
      <c r="L40" s="38" t="str">
        <f>IF(K40="-","none",IF(K40&lt;0,"decrease",IF(K40=0,"constant","increase")))</f>
        <v>increase</v>
      </c>
      <c r="M40" s="16">
        <f>K40</f>
        <v>3</v>
      </c>
      <c r="N40" s="16" t="str">
        <f>J40</f>
        <v>Cook Inlet Herring Seine</v>
      </c>
      <c r="O40" s="109">
        <f>IF(C40="-","-",VLOOKUP($B40,Table7data!$A:$F,5,FALSE))</f>
        <v>-17</v>
      </c>
      <c r="P40" s="38" t="str">
        <f>IF(O40="-","none",IF(O40&lt;0,"decrease",IF(O40=0,"constant","increase")))</f>
        <v>decrease</v>
      </c>
      <c r="Q40" s="16">
        <f>O40</f>
        <v>-17</v>
      </c>
      <c r="R40" s="16" t="str">
        <f>N40</f>
        <v>Cook Inlet Herring Seine</v>
      </c>
      <c r="S40" s="109">
        <f>IF(C40="-","-",VLOOKUP($B40,Table7data!$A:$F,6,FALSE))</f>
        <v>17</v>
      </c>
      <c r="T40" s="38" t="str">
        <f>IF(S40="-","none",IF(S40&lt;0,"decrease",IF(S40=0,"constant","increase")))</f>
        <v>increase</v>
      </c>
      <c r="U40" s="16">
        <f>S40</f>
        <v>17</v>
      </c>
      <c r="V40" s="16" t="str">
        <f>R40</f>
        <v>Cook Inlet Herring Seine</v>
      </c>
    </row>
    <row r="41" spans="1:22" s="58" customFormat="1" ht="15">
      <c r="A41" s="59"/>
      <c r="B41" s="27"/>
      <c r="C41" s="110">
        <f>SUM(C37:C40)</f>
        <v>-20</v>
      </c>
      <c r="D41" s="110"/>
      <c r="E41" s="110"/>
      <c r="F41" s="110"/>
      <c r="G41" s="110">
        <f>SUM(G37:G40)</f>
        <v>-2</v>
      </c>
      <c r="H41" s="110"/>
      <c r="I41" s="110"/>
      <c r="J41" s="110"/>
      <c r="K41" s="110">
        <f>SUM(K37:K40)</f>
        <v>-7</v>
      </c>
      <c r="L41" s="110"/>
      <c r="M41" s="110"/>
      <c r="N41" s="110"/>
      <c r="O41" s="110">
        <f>SUM(O37:O40)</f>
        <v>-22</v>
      </c>
      <c r="P41" s="110"/>
      <c r="Q41" s="110"/>
      <c r="R41" s="110"/>
      <c r="S41" s="110">
        <f>SUM(S37:S40)</f>
        <v>51</v>
      </c>
      <c r="T41" s="110"/>
      <c r="U41" s="110"/>
      <c r="V41" s="110"/>
    </row>
    <row r="42" spans="1:2" ht="15">
      <c r="A42" s="53"/>
      <c r="B42" s="24"/>
    </row>
    <row r="43" spans="1:2" ht="15">
      <c r="A43" s="54" t="s">
        <v>376</v>
      </c>
      <c r="B43" s="24"/>
    </row>
    <row r="44" spans="1:22" ht="15">
      <c r="A44" s="98" t="s">
        <v>246</v>
      </c>
      <c r="B44" s="24" t="s">
        <v>247</v>
      </c>
      <c r="C44" s="108">
        <f>IF(ISNA(VLOOKUP($B44,Table7data!$A:$F,2,FALSE)),"-",VLOOKUP($B44,Table7data!$A:$F,2,FALSE))</f>
        <v>-78</v>
      </c>
      <c r="D44" s="38" t="str">
        <f>IF(C44="-","none",IF(C44&lt;0,"decrease",IF(C44=0,"constant","increase")))</f>
        <v>decrease</v>
      </c>
      <c r="E44" s="16">
        <f aca="true" t="shared" si="30" ref="E44:E58">C44</f>
        <v>-78</v>
      </c>
      <c r="F44" s="16" t="str">
        <f aca="true" t="shared" si="31" ref="F44:F58">A44</f>
        <v>Salmon Hand Troll</v>
      </c>
      <c r="G44" s="108">
        <f>IF(C44="-","-",VLOOKUP($B44,Table7data!$A:$F,3,FALSE))</f>
        <v>5</v>
      </c>
      <c r="H44" s="38" t="str">
        <f>IF(G44="-","none",IF(G44&lt;0,"decrease",IF(G44=0,"constant","increase")))</f>
        <v>increase</v>
      </c>
      <c r="I44" s="16">
        <f aca="true" t="shared" si="32" ref="I44:I58">G44</f>
        <v>5</v>
      </c>
      <c r="J44" s="16" t="str">
        <f aca="true" t="shared" si="33" ref="J44:J58">F44</f>
        <v>Salmon Hand Troll</v>
      </c>
      <c r="K44" s="108">
        <f>IF(C44="-","-",VLOOKUP($B44,Table7data!$A:$F,4,FALSE))</f>
        <v>-67</v>
      </c>
      <c r="L44" s="38" t="str">
        <f>IF(K44="-","none",IF(K44&lt;0,"decrease",IF(K44=0,"constant","increase")))</f>
        <v>decrease</v>
      </c>
      <c r="M44" s="16">
        <f aca="true" t="shared" si="34" ref="M44:M58">K44</f>
        <v>-67</v>
      </c>
      <c r="N44" s="16" t="str">
        <f aca="true" t="shared" si="35" ref="N44:N58">J44</f>
        <v>Salmon Hand Troll</v>
      </c>
      <c r="O44" s="108">
        <f>IF(C44="-","-",VLOOKUP($B44,Table7data!$A:$F,5,FALSE))</f>
        <v>25</v>
      </c>
      <c r="P44" s="38" t="str">
        <f>IF(O44="-","none",IF(O44&lt;0,"decrease",IF(O44=0,"constant","increase")))</f>
        <v>increase</v>
      </c>
      <c r="Q44" s="16">
        <f aca="true" t="shared" si="36" ref="Q44:Q58">O44</f>
        <v>25</v>
      </c>
      <c r="R44" s="16" t="str">
        <f aca="true" t="shared" si="37" ref="R44:R58">N44</f>
        <v>Salmon Hand Troll</v>
      </c>
      <c r="S44" s="108">
        <f>IF(C44="-","-",VLOOKUP($B44,Table7data!$A:$F,6,FALSE))</f>
        <v>115</v>
      </c>
      <c r="T44" s="38" t="str">
        <f>IF(S44="-","none",IF(S44&lt;0,"decrease",IF(S44=0,"constant","increase")))</f>
        <v>increase</v>
      </c>
      <c r="U44" s="16">
        <f aca="true" t="shared" si="38" ref="U44:U58">S44</f>
        <v>115</v>
      </c>
      <c r="V44" s="16" t="str">
        <f aca="true" t="shared" si="39" ref="V44:V58">R44</f>
        <v>Salmon Hand Troll</v>
      </c>
    </row>
    <row r="45" spans="1:22" ht="15">
      <c r="A45" s="98" t="s">
        <v>248</v>
      </c>
      <c r="B45" s="24" t="s">
        <v>249</v>
      </c>
      <c r="C45" s="108">
        <f>IF(ISNA(VLOOKUP($B45,Table7data!$A:$F,2,FALSE)),"-",VLOOKUP($B45,Table7data!$A:$F,2,FALSE))</f>
        <v>-4</v>
      </c>
      <c r="D45" s="38" t="str">
        <f>IF(C45="-","none",IF(C45&lt;0,"decrease",IF(C45=0,"constant","increase")))</f>
        <v>decrease</v>
      </c>
      <c r="E45" s="16">
        <f t="shared" si="30"/>
        <v>-4</v>
      </c>
      <c r="F45" s="16" t="str">
        <f t="shared" si="31"/>
        <v>NSEI Sablefish Longline</v>
      </c>
      <c r="G45" s="108">
        <f>IF(C45="-","-",VLOOKUP($B45,Table7data!$A:$F,3,FALSE))</f>
        <v>0</v>
      </c>
      <c r="H45" s="38" t="str">
        <f>IF(G45="-","none",IF(G45&lt;0,"decrease",IF(G45=0,"constant","increase")))</f>
        <v>constant</v>
      </c>
      <c r="I45" s="16">
        <f t="shared" si="32"/>
        <v>0</v>
      </c>
      <c r="J45" s="16" t="str">
        <f t="shared" si="33"/>
        <v>NSEI Sablefish Longline</v>
      </c>
      <c r="K45" s="108">
        <f>IF(C45="-","-",VLOOKUP($B45,Table7data!$A:$F,4,FALSE))</f>
        <v>1</v>
      </c>
      <c r="L45" s="38" t="str">
        <f>IF(K45="-","none",IF(K45&lt;0,"decrease",IF(K45=0,"constant","increase")))</f>
        <v>increase</v>
      </c>
      <c r="M45" s="16">
        <f t="shared" si="34"/>
        <v>1</v>
      </c>
      <c r="N45" s="16" t="str">
        <f t="shared" si="35"/>
        <v>NSEI Sablefish Longline</v>
      </c>
      <c r="O45" s="108">
        <f>IF(C45="-","-",VLOOKUP($B45,Table7data!$A:$F,5,FALSE))</f>
        <v>2</v>
      </c>
      <c r="P45" s="38" t="str">
        <f>IF(O45="-","none",IF(O45&lt;0,"decrease",IF(O45=0,"constant","increase")))</f>
        <v>increase</v>
      </c>
      <c r="Q45" s="16">
        <f t="shared" si="36"/>
        <v>2</v>
      </c>
      <c r="R45" s="16" t="str">
        <f t="shared" si="37"/>
        <v>NSEI Sablefish Longline</v>
      </c>
      <c r="S45" s="108">
        <f>IF(C45="-","-",VLOOKUP($B45,Table7data!$A:$F,6,FALSE))</f>
        <v>1</v>
      </c>
      <c r="T45" s="38" t="str">
        <f>IF(S45="-","none",IF(S45&lt;0,"decrease",IF(S45=0,"constant","increase")))</f>
        <v>increase</v>
      </c>
      <c r="U45" s="16">
        <f t="shared" si="38"/>
        <v>1</v>
      </c>
      <c r="V45" s="16" t="str">
        <f t="shared" si="39"/>
        <v>NSEI Sablefish Longline</v>
      </c>
    </row>
    <row r="46" spans="1:22" ht="15">
      <c r="A46" s="98" t="s">
        <v>250</v>
      </c>
      <c r="B46" s="24" t="s">
        <v>251</v>
      </c>
      <c r="C46" s="108">
        <f>IF(ISNA(VLOOKUP($B46,Table7data!$A:$F,2,FALSE)),"-",VLOOKUP($B46,Table7data!$A:$F,2,FALSE))</f>
        <v>0</v>
      </c>
      <c r="D46" s="38" t="str">
        <f>IF(C46="-","none",IF(C46&lt;0,"decrease",IF(C46=0,"constant","increase")))</f>
        <v>constant</v>
      </c>
      <c r="E46" s="16">
        <f t="shared" si="30"/>
        <v>0</v>
      </c>
      <c r="F46" s="16" t="str">
        <f t="shared" si="31"/>
        <v>SSEI Sablefish Longline</v>
      </c>
      <c r="G46" s="108">
        <f>IF(C46="-","-",VLOOKUP($B46,Table7data!$A:$F,3,FALSE))</f>
        <v>0</v>
      </c>
      <c r="H46" s="38" t="str">
        <f>IF(G46="-","none",IF(G46&lt;0,"decrease",IF(G46=0,"constant","increase")))</f>
        <v>constant</v>
      </c>
      <c r="I46" s="16">
        <f t="shared" si="32"/>
        <v>0</v>
      </c>
      <c r="J46" s="16" t="str">
        <f t="shared" si="33"/>
        <v>SSEI Sablefish Longline</v>
      </c>
      <c r="K46" s="108">
        <f>IF(C46="-","-",VLOOKUP($B46,Table7data!$A:$F,4,FALSE))</f>
        <v>-2</v>
      </c>
      <c r="L46" s="38" t="str">
        <f>IF(K46="-","none",IF(K46&lt;0,"decrease",IF(K46=0,"constant","increase")))</f>
        <v>decrease</v>
      </c>
      <c r="M46" s="16">
        <f t="shared" si="34"/>
        <v>-2</v>
      </c>
      <c r="N46" s="16" t="str">
        <f t="shared" si="35"/>
        <v>SSEI Sablefish Longline</v>
      </c>
      <c r="O46" s="108">
        <f>IF(C46="-","-",VLOOKUP($B46,Table7data!$A:$F,5,FALSE))</f>
        <v>1</v>
      </c>
      <c r="P46" s="38" t="str">
        <f>IF(O46="-","none",IF(O46&lt;0,"decrease",IF(O46=0,"constant","increase")))</f>
        <v>increase</v>
      </c>
      <c r="Q46" s="16">
        <f t="shared" si="36"/>
        <v>1</v>
      </c>
      <c r="R46" s="16" t="str">
        <f t="shared" si="37"/>
        <v>SSEI Sablefish Longline</v>
      </c>
      <c r="S46" s="108">
        <f>IF(C46="-","-",VLOOKUP($B46,Table7data!$A:$F,6,FALSE))</f>
        <v>1</v>
      </c>
      <c r="T46" s="38" t="str">
        <f>IF(S46="-","none",IF(S46&lt;0,"decrease",IF(S46=0,"constant","increase")))</f>
        <v>increase</v>
      </c>
      <c r="U46" s="16">
        <f t="shared" si="38"/>
        <v>1</v>
      </c>
      <c r="V46" s="16" t="str">
        <f t="shared" si="39"/>
        <v>SSEI Sablefish Longline</v>
      </c>
    </row>
    <row r="47" spans="1:22" ht="15">
      <c r="A47" s="98" t="s">
        <v>252</v>
      </c>
      <c r="B47" s="98" t="s">
        <v>253</v>
      </c>
      <c r="C47" s="108" t="str">
        <f>IF(ISNA(VLOOKUP($B47,Table7data!$A:$F,2,FALSE)),"-",VLOOKUP($B47,Table7data!$A:$F,2,FALSE))</f>
        <v>-</v>
      </c>
      <c r="D47" s="38" t="str">
        <f>IF(C47="-","none",IF(C47&lt;0,"decrease",IF(C47=0,"constant","increase")))</f>
        <v>none</v>
      </c>
      <c r="E47" s="16" t="str">
        <f t="shared" si="30"/>
        <v>-</v>
      </c>
      <c r="F47" s="16" t="str">
        <f t="shared" si="31"/>
        <v>SSEI Sablefish Pots</v>
      </c>
      <c r="G47" s="108" t="str">
        <f>IF(C47="-","-",VLOOKUP($B47,Table7data!$A:$F,3,FALSE))</f>
        <v>-</v>
      </c>
      <c r="H47" s="38" t="str">
        <f>IF(G47="-","none",IF(G47&lt;0,"decrease",IF(G47=0,"constant","increase")))</f>
        <v>none</v>
      </c>
      <c r="I47" s="16" t="str">
        <f t="shared" si="32"/>
        <v>-</v>
      </c>
      <c r="J47" s="16" t="str">
        <f t="shared" si="33"/>
        <v>SSEI Sablefish Pots</v>
      </c>
      <c r="K47" s="108" t="str">
        <f>IF(C47="-","-",VLOOKUP($B47,Table7data!$A:$F,4,FALSE))</f>
        <v>-</v>
      </c>
      <c r="L47" s="38" t="str">
        <f>IF(K47="-","none",IF(K47&lt;0,"decrease",IF(K47=0,"constant","increase")))</f>
        <v>none</v>
      </c>
      <c r="M47" s="16" t="str">
        <f t="shared" si="34"/>
        <v>-</v>
      </c>
      <c r="N47" s="16" t="str">
        <f t="shared" si="35"/>
        <v>SSEI Sablefish Pots</v>
      </c>
      <c r="O47" s="108" t="str">
        <f>IF(C47="-","-",VLOOKUP($B47,Table7data!$A:$F,5,FALSE))</f>
        <v>-</v>
      </c>
      <c r="P47" s="38" t="str">
        <f>IF(O47="-","none",IF(O47&lt;0,"decrease",IF(O47=0,"constant","increase")))</f>
        <v>none</v>
      </c>
      <c r="Q47" s="16" t="str">
        <f t="shared" si="36"/>
        <v>-</v>
      </c>
      <c r="R47" s="16" t="str">
        <f t="shared" si="37"/>
        <v>SSEI Sablefish Pots</v>
      </c>
      <c r="S47" s="108" t="str">
        <f>IF(C47="-","-",VLOOKUP($B47,Table7data!$A:$F,6,FALSE))</f>
        <v>-</v>
      </c>
      <c r="T47" s="38" t="str">
        <f>IF(S47="-","none",IF(S47&lt;0,"decrease",IF(S47=0,"constant","increase")))</f>
        <v>none</v>
      </c>
      <c r="U47" s="16" t="str">
        <f t="shared" si="38"/>
        <v>-</v>
      </c>
      <c r="V47" s="16" t="str">
        <f t="shared" si="39"/>
        <v>SSEI Sablefish Pots</v>
      </c>
    </row>
    <row r="48" spans="1:22" ht="15">
      <c r="A48" s="98" t="s">
        <v>254</v>
      </c>
      <c r="B48" s="98" t="s">
        <v>255</v>
      </c>
      <c r="C48" s="108" t="str">
        <f>IF(ISNA(VLOOKUP($B48,Table7data!$A:$F,2,FALSE)),"-",VLOOKUP($B48,Table7data!$A:$F,2,FALSE))</f>
        <v>-</v>
      </c>
      <c r="D48" s="38" t="str">
        <f aca="true" t="shared" si="40" ref="D48:D58">IF(C48="-","none",IF(C48&lt;0,"decrease",IF(C48=0,"constant","increase")))</f>
        <v>none</v>
      </c>
      <c r="E48" s="16" t="str">
        <f t="shared" si="30"/>
        <v>-</v>
      </c>
      <c r="F48" s="16" t="str">
        <f t="shared" si="31"/>
        <v>SE Red,Blue King Crab Pot</v>
      </c>
      <c r="G48" s="108" t="str">
        <f>IF(C48="-","-",VLOOKUP($B48,Table7data!$A:$F,3,FALSE))</f>
        <v>-</v>
      </c>
      <c r="H48" s="38" t="str">
        <f aca="true" t="shared" si="41" ref="H48:H58">IF(G48="-","none",IF(G48&lt;0,"decrease",IF(G48=0,"constant","increase")))</f>
        <v>none</v>
      </c>
      <c r="I48" s="16" t="str">
        <f t="shared" si="32"/>
        <v>-</v>
      </c>
      <c r="J48" s="16" t="str">
        <f t="shared" si="33"/>
        <v>SE Red,Blue King Crab Pot</v>
      </c>
      <c r="K48" s="108" t="str">
        <f>IF(C48="-","-",VLOOKUP($B48,Table7data!$A:$F,4,FALSE))</f>
        <v>-</v>
      </c>
      <c r="L48" s="38" t="str">
        <f aca="true" t="shared" si="42" ref="L48:L58">IF(K48="-","none",IF(K48&lt;0,"decrease",IF(K48=0,"constant","increase")))</f>
        <v>none</v>
      </c>
      <c r="M48" s="16" t="str">
        <f t="shared" si="34"/>
        <v>-</v>
      </c>
      <c r="N48" s="16" t="str">
        <f t="shared" si="35"/>
        <v>SE Red,Blue King Crab Pot</v>
      </c>
      <c r="O48" s="108" t="str">
        <f>IF(C48="-","-",VLOOKUP($B48,Table7data!$A:$F,5,FALSE))</f>
        <v>-</v>
      </c>
      <c r="P48" s="38" t="str">
        <f aca="true" t="shared" si="43" ref="P48:P58">IF(O48="-","none",IF(O48&lt;0,"decrease",IF(O48=0,"constant","increase")))</f>
        <v>none</v>
      </c>
      <c r="Q48" s="16" t="str">
        <f t="shared" si="36"/>
        <v>-</v>
      </c>
      <c r="R48" s="16" t="str">
        <f t="shared" si="37"/>
        <v>SE Red,Blue King Crab Pot</v>
      </c>
      <c r="S48" s="108" t="str">
        <f>IF(C48="-","-",VLOOKUP($B48,Table7data!$A:$F,6,FALSE))</f>
        <v>-</v>
      </c>
      <c r="T48" s="38" t="str">
        <f aca="true" t="shared" si="44" ref="T48:T58">IF(S48="-","none",IF(S48&lt;0,"decrease",IF(S48=0,"constant","increase")))</f>
        <v>none</v>
      </c>
      <c r="U48" s="16" t="str">
        <f t="shared" si="38"/>
        <v>-</v>
      </c>
      <c r="V48" s="16" t="str">
        <f t="shared" si="39"/>
        <v>SE Red,Blue King Crab Pot</v>
      </c>
    </row>
    <row r="49" spans="1:22" ht="15">
      <c r="A49" s="98" t="s">
        <v>256</v>
      </c>
      <c r="B49" s="98" t="s">
        <v>257</v>
      </c>
      <c r="C49" s="108" t="str">
        <f>IF(ISNA(VLOOKUP($B49,Table7data!$A:$F,2,FALSE)),"-",VLOOKUP($B49,Table7data!$A:$F,2,FALSE))</f>
        <v>-</v>
      </c>
      <c r="D49" s="38" t="str">
        <f t="shared" si="40"/>
        <v>none</v>
      </c>
      <c r="E49" s="16" t="str">
        <f t="shared" si="30"/>
        <v>-</v>
      </c>
      <c r="F49" s="16" t="str">
        <f t="shared" si="31"/>
        <v>SE Red,Blue,Brn Kng Crb Pot</v>
      </c>
      <c r="G49" s="108" t="str">
        <f>IF(C49="-","-",VLOOKUP($B49,Table7data!$A:$F,3,FALSE))</f>
        <v>-</v>
      </c>
      <c r="H49" s="38" t="str">
        <f t="shared" si="41"/>
        <v>none</v>
      </c>
      <c r="I49" s="16" t="str">
        <f t="shared" si="32"/>
        <v>-</v>
      </c>
      <c r="J49" s="16" t="str">
        <f t="shared" si="33"/>
        <v>SE Red,Blue,Brn Kng Crb Pot</v>
      </c>
      <c r="K49" s="108" t="str">
        <f>IF(C49="-","-",VLOOKUP($B49,Table7data!$A:$F,4,FALSE))</f>
        <v>-</v>
      </c>
      <c r="L49" s="38" t="str">
        <f t="shared" si="42"/>
        <v>none</v>
      </c>
      <c r="M49" s="16" t="str">
        <f t="shared" si="34"/>
        <v>-</v>
      </c>
      <c r="N49" s="16" t="str">
        <f t="shared" si="35"/>
        <v>SE Red,Blue,Brn Kng Crb Pot</v>
      </c>
      <c r="O49" s="108" t="str">
        <f>IF(C49="-","-",VLOOKUP($B49,Table7data!$A:$F,5,FALSE))</f>
        <v>-</v>
      </c>
      <c r="P49" s="38" t="str">
        <f t="shared" si="43"/>
        <v>none</v>
      </c>
      <c r="Q49" s="16" t="str">
        <f t="shared" si="36"/>
        <v>-</v>
      </c>
      <c r="R49" s="16" t="str">
        <f t="shared" si="37"/>
        <v>SE Red,Blue,Brn Kng Crb Pot</v>
      </c>
      <c r="S49" s="108" t="str">
        <f>IF(C49="-","-",VLOOKUP($B49,Table7data!$A:$F,6,FALSE))</f>
        <v>-</v>
      </c>
      <c r="T49" s="38" t="str">
        <f t="shared" si="44"/>
        <v>none</v>
      </c>
      <c r="U49" s="16" t="str">
        <f t="shared" si="38"/>
        <v>-</v>
      </c>
      <c r="V49" s="16" t="str">
        <f t="shared" si="39"/>
        <v>SE Red,Blue,Brn Kng Crb Pot</v>
      </c>
    </row>
    <row r="50" spans="1:22" ht="15">
      <c r="A50" s="98" t="s">
        <v>258</v>
      </c>
      <c r="B50" s="98" t="s">
        <v>259</v>
      </c>
      <c r="C50" s="108" t="str">
        <f>IF(ISNA(VLOOKUP($B50,Table7data!$A:$F,2,FALSE)),"-",VLOOKUP($B50,Table7data!$A:$F,2,FALSE))</f>
        <v>-</v>
      </c>
      <c r="D50" s="38" t="str">
        <f t="shared" si="40"/>
        <v>none</v>
      </c>
      <c r="E50" s="16" t="str">
        <f t="shared" si="30"/>
        <v>-</v>
      </c>
      <c r="F50" s="16" t="str">
        <f t="shared" si="31"/>
        <v>SE Brown King Crab Pot</v>
      </c>
      <c r="G50" s="108" t="str">
        <f>IF(C50="-","-",VLOOKUP($B50,Table7data!$A:$F,3,FALSE))</f>
        <v>-</v>
      </c>
      <c r="H50" s="38" t="str">
        <f t="shared" si="41"/>
        <v>none</v>
      </c>
      <c r="I50" s="16" t="str">
        <f t="shared" si="32"/>
        <v>-</v>
      </c>
      <c r="J50" s="16" t="str">
        <f t="shared" si="33"/>
        <v>SE Brown King Crab Pot</v>
      </c>
      <c r="K50" s="108" t="str">
        <f>IF(C50="-","-",VLOOKUP($B50,Table7data!$A:$F,4,FALSE))</f>
        <v>-</v>
      </c>
      <c r="L50" s="38" t="str">
        <f t="shared" si="42"/>
        <v>none</v>
      </c>
      <c r="M50" s="16" t="str">
        <f t="shared" si="34"/>
        <v>-</v>
      </c>
      <c r="N50" s="16" t="str">
        <f t="shared" si="35"/>
        <v>SE Brown King Crab Pot</v>
      </c>
      <c r="O50" s="108" t="str">
        <f>IF(C50="-","-",VLOOKUP($B50,Table7data!$A:$F,5,FALSE))</f>
        <v>-</v>
      </c>
      <c r="P50" s="38" t="str">
        <f t="shared" si="43"/>
        <v>none</v>
      </c>
      <c r="Q50" s="16" t="str">
        <f t="shared" si="36"/>
        <v>-</v>
      </c>
      <c r="R50" s="16" t="str">
        <f t="shared" si="37"/>
        <v>SE Brown King Crab Pot</v>
      </c>
      <c r="S50" s="108" t="str">
        <f>IF(C50="-","-",VLOOKUP($B50,Table7data!$A:$F,6,FALSE))</f>
        <v>-</v>
      </c>
      <c r="T50" s="38" t="str">
        <f t="shared" si="44"/>
        <v>none</v>
      </c>
      <c r="U50" s="16" t="str">
        <f t="shared" si="38"/>
        <v>-</v>
      </c>
      <c r="V50" s="16" t="str">
        <f t="shared" si="39"/>
        <v>SE Brown King Crab Pot</v>
      </c>
    </row>
    <row r="51" spans="1:22" ht="15">
      <c r="A51" s="98" t="s">
        <v>260</v>
      </c>
      <c r="B51" s="24" t="s">
        <v>261</v>
      </c>
      <c r="C51" s="108">
        <f>IF(ISNA(VLOOKUP($B51,Table7data!$A:$F,2,FALSE)),"-",VLOOKUP($B51,Table7data!$A:$F,2,FALSE))</f>
        <v>0</v>
      </c>
      <c r="D51" s="38" t="str">
        <f t="shared" si="40"/>
        <v>constant</v>
      </c>
      <c r="E51" s="16">
        <f t="shared" si="30"/>
        <v>0</v>
      </c>
      <c r="F51" s="16" t="str">
        <f t="shared" si="31"/>
        <v>SE Red,Blue King/Tanner Pot</v>
      </c>
      <c r="G51" s="108">
        <f>IF(C51="-","-",VLOOKUP($B51,Table7data!$A:$F,3,FALSE))</f>
        <v>0</v>
      </c>
      <c r="H51" s="38" t="str">
        <f t="shared" si="41"/>
        <v>constant</v>
      </c>
      <c r="I51" s="16">
        <f t="shared" si="32"/>
        <v>0</v>
      </c>
      <c r="J51" s="16" t="str">
        <f t="shared" si="33"/>
        <v>SE Red,Blue King/Tanner Pot</v>
      </c>
      <c r="K51" s="108">
        <f>IF(C51="-","-",VLOOKUP($B51,Table7data!$A:$F,4,FALSE))</f>
        <v>-3</v>
      </c>
      <c r="L51" s="38" t="str">
        <f t="shared" si="42"/>
        <v>decrease</v>
      </c>
      <c r="M51" s="16">
        <f t="shared" si="34"/>
        <v>-3</v>
      </c>
      <c r="N51" s="16" t="str">
        <f t="shared" si="35"/>
        <v>SE Red,Blue King/Tanner Pot</v>
      </c>
      <c r="O51" s="108">
        <f>IF(C51="-","-",VLOOKUP($B51,Table7data!$A:$F,5,FALSE))</f>
        <v>1</v>
      </c>
      <c r="P51" s="38" t="str">
        <f t="shared" si="43"/>
        <v>increase</v>
      </c>
      <c r="Q51" s="16">
        <f t="shared" si="36"/>
        <v>1</v>
      </c>
      <c r="R51" s="16" t="str">
        <f t="shared" si="37"/>
        <v>SE Red,Blue King/Tanner Pot</v>
      </c>
      <c r="S51" s="108">
        <f>IF(C51="-","-",VLOOKUP($B51,Table7data!$A:$F,6,FALSE))</f>
        <v>2</v>
      </c>
      <c r="T51" s="38" t="str">
        <f t="shared" si="44"/>
        <v>increase</v>
      </c>
      <c r="U51" s="16">
        <f t="shared" si="38"/>
        <v>2</v>
      </c>
      <c r="V51" s="16" t="str">
        <f t="shared" si="39"/>
        <v>SE Red,Blue King/Tanner Pot</v>
      </c>
    </row>
    <row r="52" spans="1:22" ht="15">
      <c r="A52" s="98" t="s">
        <v>264</v>
      </c>
      <c r="B52" s="24" t="s">
        <v>265</v>
      </c>
      <c r="C52" s="108">
        <f>IF(ISNA(VLOOKUP($B52,Table7data!$A:$F,2,FALSE)),"-",VLOOKUP($B52,Table7data!$A:$F,2,FALSE))</f>
        <v>0</v>
      </c>
      <c r="D52" s="38" t="str">
        <f t="shared" si="40"/>
        <v>constant</v>
      </c>
      <c r="E52" s="16">
        <f t="shared" si="30"/>
        <v>0</v>
      </c>
      <c r="F52" s="16" t="str">
        <f t="shared" si="31"/>
        <v>SE All King/Tanner Pot</v>
      </c>
      <c r="G52" s="108">
        <f>IF(C52="-","-",VLOOKUP($B52,Table7data!$A:$F,3,FALSE))</f>
        <v>-1</v>
      </c>
      <c r="H52" s="38" t="str">
        <f t="shared" si="41"/>
        <v>decrease</v>
      </c>
      <c r="I52" s="16">
        <f t="shared" si="32"/>
        <v>-1</v>
      </c>
      <c r="J52" s="16" t="str">
        <f t="shared" si="33"/>
        <v>SE All King/Tanner Pot</v>
      </c>
      <c r="K52" s="108">
        <f>IF(C52="-","-",VLOOKUP($B52,Table7data!$A:$F,4,FALSE))</f>
        <v>0</v>
      </c>
      <c r="L52" s="38" t="str">
        <f t="shared" si="42"/>
        <v>constant</v>
      </c>
      <c r="M52" s="16">
        <f t="shared" si="34"/>
        <v>0</v>
      </c>
      <c r="N52" s="16" t="str">
        <f t="shared" si="35"/>
        <v>SE All King/Tanner Pot</v>
      </c>
      <c r="O52" s="108">
        <f>IF(C52="-","-",VLOOKUP($B52,Table7data!$A:$F,5,FALSE))</f>
        <v>0</v>
      </c>
      <c r="P52" s="38" t="str">
        <f t="shared" si="43"/>
        <v>constant</v>
      </c>
      <c r="Q52" s="16">
        <f t="shared" si="36"/>
        <v>0</v>
      </c>
      <c r="R52" s="16" t="str">
        <f t="shared" si="37"/>
        <v>SE All King/Tanner Pot</v>
      </c>
      <c r="S52" s="108">
        <f>IF(C52="-","-",VLOOKUP($B52,Table7data!$A:$F,6,FALSE))</f>
        <v>1</v>
      </c>
      <c r="T52" s="38" t="str">
        <f t="shared" si="44"/>
        <v>increase</v>
      </c>
      <c r="U52" s="16">
        <f t="shared" si="38"/>
        <v>1</v>
      </c>
      <c r="V52" s="16" t="str">
        <f t="shared" si="39"/>
        <v>SE All King/Tanner Pot</v>
      </c>
    </row>
    <row r="53" spans="1:22" ht="15">
      <c r="A53" s="98" t="s">
        <v>266</v>
      </c>
      <c r="B53" s="24" t="s">
        <v>267</v>
      </c>
      <c r="C53" s="108">
        <f>IF(ISNA(VLOOKUP($B53,Table7data!$A:$F,2,FALSE)),"-",VLOOKUP($B53,Table7data!$A:$F,2,FALSE))</f>
        <v>2</v>
      </c>
      <c r="D53" s="38" t="str">
        <f t="shared" si="40"/>
        <v>increase</v>
      </c>
      <c r="E53" s="16">
        <f t="shared" si="30"/>
        <v>2</v>
      </c>
      <c r="F53" s="16" t="str">
        <f t="shared" si="31"/>
        <v>SE Tanner Crab Pot</v>
      </c>
      <c r="G53" s="108">
        <f>IF(C53="-","-",VLOOKUP($B53,Table7data!$A:$F,3,FALSE))</f>
        <v>0</v>
      </c>
      <c r="H53" s="38" t="str">
        <f t="shared" si="41"/>
        <v>constant</v>
      </c>
      <c r="I53" s="16">
        <f t="shared" si="32"/>
        <v>0</v>
      </c>
      <c r="J53" s="16" t="str">
        <f t="shared" si="33"/>
        <v>SE Tanner Crab Pot</v>
      </c>
      <c r="K53" s="108">
        <f>IF(C53="-","-",VLOOKUP($B53,Table7data!$A:$F,4,FALSE))</f>
        <v>-3</v>
      </c>
      <c r="L53" s="38" t="str">
        <f t="shared" si="42"/>
        <v>decrease</v>
      </c>
      <c r="M53" s="16">
        <f t="shared" si="34"/>
        <v>-3</v>
      </c>
      <c r="N53" s="16" t="str">
        <f t="shared" si="35"/>
        <v>SE Tanner Crab Pot</v>
      </c>
      <c r="O53" s="108">
        <f>IF(C53="-","-",VLOOKUP($B53,Table7data!$A:$F,5,FALSE))</f>
        <v>0</v>
      </c>
      <c r="P53" s="38" t="str">
        <f t="shared" si="43"/>
        <v>constant</v>
      </c>
      <c r="Q53" s="16">
        <f t="shared" si="36"/>
        <v>0</v>
      </c>
      <c r="R53" s="16" t="str">
        <f t="shared" si="37"/>
        <v>SE Tanner Crab Pot</v>
      </c>
      <c r="S53" s="108">
        <f>IF(C53="-","-",VLOOKUP($B53,Table7data!$A:$F,6,FALSE))</f>
        <v>1</v>
      </c>
      <c r="T53" s="38" t="str">
        <f t="shared" si="44"/>
        <v>increase</v>
      </c>
      <c r="U53" s="16">
        <f t="shared" si="38"/>
        <v>1</v>
      </c>
      <c r="V53" s="16" t="str">
        <f t="shared" si="39"/>
        <v>SE Tanner Crab Pot</v>
      </c>
    </row>
    <row r="54" spans="1:22" ht="15">
      <c r="A54" s="98" t="s">
        <v>268</v>
      </c>
      <c r="B54" s="24" t="s">
        <v>269</v>
      </c>
      <c r="C54" s="108">
        <f>IF(ISNA(VLOOKUP($B54,Table7data!$A:$F,2,FALSE)),"-",VLOOKUP($B54,Table7data!$A:$F,2,FALSE))</f>
        <v>-6</v>
      </c>
      <c r="D54" s="38" t="str">
        <f t="shared" si="40"/>
        <v>decrease</v>
      </c>
      <c r="E54" s="16">
        <f t="shared" si="30"/>
        <v>-6</v>
      </c>
      <c r="F54" s="16" t="str">
        <f t="shared" si="31"/>
        <v>PWS Roe Herring Gillnet</v>
      </c>
      <c r="G54" s="108">
        <f>IF(C54="-","-",VLOOKUP($B54,Table7data!$A:$F,3,FALSE))</f>
        <v>-1</v>
      </c>
      <c r="H54" s="38" t="str">
        <f t="shared" si="41"/>
        <v>decrease</v>
      </c>
      <c r="I54" s="16">
        <f t="shared" si="32"/>
        <v>-1</v>
      </c>
      <c r="J54" s="16" t="str">
        <f t="shared" si="33"/>
        <v>PWS Roe Herring Gillnet</v>
      </c>
      <c r="K54" s="108">
        <f>IF(C54="-","-",VLOOKUP($B54,Table7data!$A:$F,4,FALSE))</f>
        <v>0</v>
      </c>
      <c r="L54" s="38" t="str">
        <f t="shared" si="42"/>
        <v>constant</v>
      </c>
      <c r="M54" s="16">
        <f t="shared" si="34"/>
        <v>0</v>
      </c>
      <c r="N54" s="16" t="str">
        <f t="shared" si="35"/>
        <v>PWS Roe Herring Gillnet</v>
      </c>
      <c r="O54" s="108">
        <f>IF(C54="-","-",VLOOKUP($B54,Table7data!$A:$F,5,FALSE))</f>
        <v>4</v>
      </c>
      <c r="P54" s="38" t="str">
        <f t="shared" si="43"/>
        <v>increase</v>
      </c>
      <c r="Q54" s="16">
        <f t="shared" si="36"/>
        <v>4</v>
      </c>
      <c r="R54" s="16" t="str">
        <f t="shared" si="37"/>
        <v>PWS Roe Herring Gillnet</v>
      </c>
      <c r="S54" s="108">
        <f>IF(C54="-","-",VLOOKUP($B54,Table7data!$A:$F,6,FALSE))</f>
        <v>3</v>
      </c>
      <c r="T54" s="38" t="str">
        <f t="shared" si="44"/>
        <v>increase</v>
      </c>
      <c r="U54" s="16">
        <f t="shared" si="38"/>
        <v>3</v>
      </c>
      <c r="V54" s="16" t="str">
        <f t="shared" si="39"/>
        <v>PWS Roe Herring Gillnet</v>
      </c>
    </row>
    <row r="55" spans="1:22" ht="15">
      <c r="A55" s="98" t="s">
        <v>270</v>
      </c>
      <c r="B55" s="57" t="s">
        <v>271</v>
      </c>
      <c r="C55" s="108">
        <f>IF(ISNA(VLOOKUP($B55,Table7data!$A:$F,2,FALSE)),"-",VLOOKUP($B55,Table7data!$A:$F,2,FALSE))</f>
        <v>-24</v>
      </c>
      <c r="D55" s="38" t="str">
        <f t="shared" si="40"/>
        <v>decrease</v>
      </c>
      <c r="E55" s="16">
        <f t="shared" si="30"/>
        <v>-24</v>
      </c>
      <c r="F55" s="16" t="str">
        <f t="shared" si="31"/>
        <v>PWS Her Spawn on Kelp Pound</v>
      </c>
      <c r="G55" s="108">
        <f>IF(C55="-","-",VLOOKUP($B55,Table7data!$A:$F,3,FALSE))</f>
        <v>1</v>
      </c>
      <c r="H55" s="38" t="str">
        <f t="shared" si="41"/>
        <v>increase</v>
      </c>
      <c r="I55" s="16">
        <f t="shared" si="32"/>
        <v>1</v>
      </c>
      <c r="J55" s="16" t="str">
        <f t="shared" si="33"/>
        <v>PWS Her Spawn on Kelp Pound</v>
      </c>
      <c r="K55" s="108">
        <f>IF(C55="-","-",VLOOKUP($B55,Table7data!$A:$F,4,FALSE))</f>
        <v>0</v>
      </c>
      <c r="L55" s="38" t="str">
        <f t="shared" si="42"/>
        <v>constant</v>
      </c>
      <c r="M55" s="16">
        <f t="shared" si="34"/>
        <v>0</v>
      </c>
      <c r="N55" s="16" t="str">
        <f t="shared" si="35"/>
        <v>PWS Her Spawn on Kelp Pound</v>
      </c>
      <c r="O55" s="108">
        <f>IF(C55="-","-",VLOOKUP($B55,Table7data!$A:$F,5,FALSE))</f>
        <v>3</v>
      </c>
      <c r="P55" s="38" t="str">
        <f t="shared" si="43"/>
        <v>increase</v>
      </c>
      <c r="Q55" s="16">
        <f t="shared" si="36"/>
        <v>3</v>
      </c>
      <c r="R55" s="16" t="str">
        <f t="shared" si="37"/>
        <v>PWS Her Spawn on Kelp Pound</v>
      </c>
      <c r="S55" s="108">
        <f>IF(C55="-","-",VLOOKUP($B55,Table7data!$A:$F,6,FALSE))</f>
        <v>20</v>
      </c>
      <c r="T55" s="38" t="str">
        <f t="shared" si="44"/>
        <v>increase</v>
      </c>
      <c r="U55" s="16">
        <f t="shared" si="38"/>
        <v>20</v>
      </c>
      <c r="V55" s="16" t="str">
        <f t="shared" si="39"/>
        <v>PWS Her Spawn on Kelp Pound</v>
      </c>
    </row>
    <row r="56" spans="1:22" ht="15">
      <c r="A56" s="98" t="s">
        <v>272</v>
      </c>
      <c r="B56" s="24" t="s">
        <v>273</v>
      </c>
      <c r="C56" s="108">
        <f>IF(ISNA(VLOOKUP($B56,Table7data!$A:$F,2,FALSE)),"-",VLOOKUP($B56,Table7data!$A:$F,2,FALSE))</f>
        <v>-10</v>
      </c>
      <c r="D56" s="38" t="str">
        <f t="shared" si="40"/>
        <v>decrease</v>
      </c>
      <c r="E56" s="16">
        <f t="shared" si="30"/>
        <v>-10</v>
      </c>
      <c r="F56" s="16" t="str">
        <f t="shared" si="31"/>
        <v>Kodiak Roe Herring Seine</v>
      </c>
      <c r="G56" s="108">
        <f>IF(C56="-","-",VLOOKUP($B56,Table7data!$A:$F,3,FALSE))</f>
        <v>2</v>
      </c>
      <c r="H56" s="38" t="str">
        <f t="shared" si="41"/>
        <v>increase</v>
      </c>
      <c r="I56" s="16">
        <f t="shared" si="32"/>
        <v>2</v>
      </c>
      <c r="J56" s="16" t="str">
        <f t="shared" si="33"/>
        <v>Kodiak Roe Herring Seine</v>
      </c>
      <c r="K56" s="108">
        <f>IF(C56="-","-",VLOOKUP($B56,Table7data!$A:$F,4,FALSE))</f>
        <v>-6</v>
      </c>
      <c r="L56" s="38" t="str">
        <f t="shared" si="42"/>
        <v>decrease</v>
      </c>
      <c r="M56" s="16">
        <f t="shared" si="34"/>
        <v>-6</v>
      </c>
      <c r="N56" s="16" t="str">
        <f t="shared" si="35"/>
        <v>Kodiak Roe Herring Seine</v>
      </c>
      <c r="O56" s="108">
        <f>IF(C56="-","-",VLOOKUP($B56,Table7data!$A:$F,5,FALSE))</f>
        <v>3</v>
      </c>
      <c r="P56" s="38" t="str">
        <f t="shared" si="43"/>
        <v>increase</v>
      </c>
      <c r="Q56" s="16">
        <f t="shared" si="36"/>
        <v>3</v>
      </c>
      <c r="R56" s="16" t="str">
        <f t="shared" si="37"/>
        <v>Kodiak Roe Herring Seine</v>
      </c>
      <c r="S56" s="108">
        <f>IF(C56="-","-",VLOOKUP($B56,Table7data!$A:$F,6,FALSE))</f>
        <v>11</v>
      </c>
      <c r="T56" s="38" t="str">
        <f t="shared" si="44"/>
        <v>increase</v>
      </c>
      <c r="U56" s="16">
        <f t="shared" si="38"/>
        <v>11</v>
      </c>
      <c r="V56" s="16" t="str">
        <f t="shared" si="39"/>
        <v>Kodiak Roe Herring Seine</v>
      </c>
    </row>
    <row r="57" spans="1:22" ht="15">
      <c r="A57" s="98" t="s">
        <v>274</v>
      </c>
      <c r="B57" s="24" t="s">
        <v>275</v>
      </c>
      <c r="C57" s="108">
        <f>IF(ISNA(VLOOKUP($B57,Table7data!$A:$F,2,FALSE)),"-",VLOOKUP($B57,Table7data!$A:$F,2,FALSE))</f>
        <v>0</v>
      </c>
      <c r="D57" s="38" t="str">
        <f t="shared" si="40"/>
        <v>constant</v>
      </c>
      <c r="E57" s="16">
        <f t="shared" si="30"/>
        <v>0</v>
      </c>
      <c r="F57" s="16" t="str">
        <f t="shared" si="31"/>
        <v>Kodiak Roe Herring Gillnet</v>
      </c>
      <c r="G57" s="108">
        <f>IF(C57="-","-",VLOOKUP($B57,Table7data!$A:$F,3,FALSE))</f>
        <v>-2</v>
      </c>
      <c r="H57" s="38" t="str">
        <f t="shared" si="41"/>
        <v>decrease</v>
      </c>
      <c r="I57" s="16">
        <f t="shared" si="32"/>
        <v>-2</v>
      </c>
      <c r="J57" s="16" t="str">
        <f t="shared" si="33"/>
        <v>Kodiak Roe Herring Gillnet</v>
      </c>
      <c r="K57" s="108">
        <f>IF(C57="-","-",VLOOKUP($B57,Table7data!$A:$F,4,FALSE))</f>
        <v>-3</v>
      </c>
      <c r="L57" s="38" t="str">
        <f t="shared" si="42"/>
        <v>decrease</v>
      </c>
      <c r="M57" s="16">
        <f t="shared" si="34"/>
        <v>-3</v>
      </c>
      <c r="N57" s="16" t="str">
        <f t="shared" si="35"/>
        <v>Kodiak Roe Herring Gillnet</v>
      </c>
      <c r="O57" s="108">
        <f>IF(C57="-","-",VLOOKUP($B57,Table7data!$A:$F,5,FALSE))</f>
        <v>-3</v>
      </c>
      <c r="P57" s="38" t="str">
        <f t="shared" si="43"/>
        <v>decrease</v>
      </c>
      <c r="Q57" s="16">
        <f t="shared" si="36"/>
        <v>-3</v>
      </c>
      <c r="R57" s="16" t="str">
        <f t="shared" si="37"/>
        <v>Kodiak Roe Herring Gillnet</v>
      </c>
      <c r="S57" s="108">
        <f>IF(C57="-","-",VLOOKUP($B57,Table7data!$A:$F,6,FALSE))</f>
        <v>8</v>
      </c>
      <c r="T57" s="38" t="str">
        <f t="shared" si="44"/>
        <v>increase</v>
      </c>
      <c r="U57" s="16">
        <f t="shared" si="38"/>
        <v>8</v>
      </c>
      <c r="V57" s="16" t="str">
        <f t="shared" si="39"/>
        <v>Kodiak Roe Herring Gillnet</v>
      </c>
    </row>
    <row r="58" spans="1:22" ht="15">
      <c r="A58" s="98" t="s">
        <v>276</v>
      </c>
      <c r="B58" s="24" t="s">
        <v>277</v>
      </c>
      <c r="C58" s="109">
        <f>IF(ISNA(VLOOKUP($B58,Table7data!$A:$F,2,FALSE)),"-",VLOOKUP($B58,Table7data!$A:$F,2,FALSE))</f>
        <v>1</v>
      </c>
      <c r="D58" s="38" t="str">
        <f t="shared" si="40"/>
        <v>increase</v>
      </c>
      <c r="E58" s="16">
        <f t="shared" si="30"/>
        <v>1</v>
      </c>
      <c r="F58" s="16" t="str">
        <f t="shared" si="31"/>
        <v>Kodiak Roe Her Seine/Gill</v>
      </c>
      <c r="G58" s="109">
        <f>IF(C58="-","-",VLOOKUP($B58,Table7data!$A:$F,3,FALSE))</f>
        <v>0</v>
      </c>
      <c r="H58" s="38" t="str">
        <f t="shared" si="41"/>
        <v>constant</v>
      </c>
      <c r="I58" s="16">
        <f t="shared" si="32"/>
        <v>0</v>
      </c>
      <c r="J58" s="16" t="str">
        <f t="shared" si="33"/>
        <v>Kodiak Roe Her Seine/Gill</v>
      </c>
      <c r="K58" s="109">
        <f>IF(C58="-","-",VLOOKUP($B58,Table7data!$A:$F,4,FALSE))</f>
        <v>0</v>
      </c>
      <c r="L58" s="38" t="str">
        <f t="shared" si="42"/>
        <v>constant</v>
      </c>
      <c r="M58" s="16">
        <f t="shared" si="34"/>
        <v>0</v>
      </c>
      <c r="N58" s="16" t="str">
        <f t="shared" si="35"/>
        <v>Kodiak Roe Her Seine/Gill</v>
      </c>
      <c r="O58" s="109">
        <f>IF(C58="-","-",VLOOKUP($B58,Table7data!$A:$F,5,FALSE))</f>
        <v>0</v>
      </c>
      <c r="P58" s="38" t="str">
        <f t="shared" si="43"/>
        <v>constant</v>
      </c>
      <c r="Q58" s="16">
        <f t="shared" si="36"/>
        <v>0</v>
      </c>
      <c r="R58" s="16" t="str">
        <f t="shared" si="37"/>
        <v>Kodiak Roe Her Seine/Gill</v>
      </c>
      <c r="S58" s="109">
        <f>IF(C58="-","-",VLOOKUP($B58,Table7data!$A:$F,6,FALSE))</f>
        <v>-1</v>
      </c>
      <c r="T58" s="38" t="str">
        <f t="shared" si="44"/>
        <v>decrease</v>
      </c>
      <c r="U58" s="16">
        <f t="shared" si="38"/>
        <v>-1</v>
      </c>
      <c r="V58" s="16" t="str">
        <f t="shared" si="39"/>
        <v>Kodiak Roe Her Seine/Gill</v>
      </c>
    </row>
    <row r="59" spans="1:22" s="58" customFormat="1" ht="15">
      <c r="A59" s="59"/>
      <c r="B59" s="27"/>
      <c r="C59" s="110">
        <f>SUM(C44:C58)</f>
        <v>-119</v>
      </c>
      <c r="D59" s="110"/>
      <c r="E59" s="110"/>
      <c r="F59" s="110"/>
      <c r="G59" s="110">
        <f>SUM(G44:G58)</f>
        <v>4</v>
      </c>
      <c r="H59" s="110"/>
      <c r="I59" s="110"/>
      <c r="J59" s="110"/>
      <c r="K59" s="110">
        <f>SUM(K44:K58)</f>
        <v>-83</v>
      </c>
      <c r="L59" s="110"/>
      <c r="M59" s="110"/>
      <c r="N59" s="110"/>
      <c r="O59" s="110">
        <f>SUM(O44:O58)</f>
        <v>36</v>
      </c>
      <c r="P59" s="110"/>
      <c r="Q59" s="110"/>
      <c r="R59" s="110"/>
      <c r="S59" s="110">
        <f>SUM(S44:S58)</f>
        <v>162</v>
      </c>
      <c r="T59" s="110"/>
      <c r="U59" s="110"/>
      <c r="V59" s="110"/>
    </row>
    <row r="60" spans="1:2" ht="15">
      <c r="A60" s="53"/>
      <c r="B60" s="24"/>
    </row>
    <row r="61" spans="1:2" ht="15">
      <c r="A61" s="54" t="s">
        <v>396</v>
      </c>
      <c r="B61" s="24"/>
    </row>
    <row r="62" spans="1:22" ht="15">
      <c r="A62" s="98" t="s">
        <v>279</v>
      </c>
      <c r="B62" s="24" t="s">
        <v>280</v>
      </c>
      <c r="C62" s="108">
        <f>IF(ISNA(VLOOKUP($B62,Table7data!$A:$F,2,FALSE)),"-",VLOOKUP($B62,Table7data!$A:$F,2,FALSE))</f>
        <v>-25</v>
      </c>
      <c r="D62" s="38" t="str">
        <f aca="true" t="shared" si="45" ref="D62:D67">IF(C62="-","none",IF(C62&lt;0,"decrease",IF(C62=0,"constant","increase")))</f>
        <v>decrease</v>
      </c>
      <c r="E62" s="16">
        <f aca="true" t="shared" si="46" ref="E62:E67">C62</f>
        <v>-25</v>
      </c>
      <c r="F62" s="16" t="str">
        <f aca="true" t="shared" si="47" ref="F62:F67">A62</f>
        <v>BBay Herring Spawn on Kelp</v>
      </c>
      <c r="G62" s="108">
        <f>IF(C62="-","-",VLOOKUP($B62,Table7data!$A:$F,3,FALSE))</f>
        <v>4</v>
      </c>
      <c r="H62" s="38" t="str">
        <f aca="true" t="shared" si="48" ref="H62:H67">IF(G62="-","none",IF(G62&lt;0,"decrease",IF(G62=0,"constant","increase")))</f>
        <v>increase</v>
      </c>
      <c r="I62" s="16">
        <f aca="true" t="shared" si="49" ref="I62:I67">G62</f>
        <v>4</v>
      </c>
      <c r="J62" s="16" t="str">
        <f aca="true" t="shared" si="50" ref="J62:J67">F62</f>
        <v>BBay Herring Spawn on Kelp</v>
      </c>
      <c r="K62" s="108">
        <f>IF(C62="-","-",VLOOKUP($B62,Table7data!$A:$F,4,FALSE))</f>
        <v>0</v>
      </c>
      <c r="L62" s="38" t="str">
        <f aca="true" t="shared" si="51" ref="L62:L67">IF(K62="-","none",IF(K62&lt;0,"decrease",IF(K62=0,"constant","increase")))</f>
        <v>constant</v>
      </c>
      <c r="M62" s="16">
        <f aca="true" t="shared" si="52" ref="M62:M67">K62</f>
        <v>0</v>
      </c>
      <c r="N62" s="16" t="str">
        <f aca="true" t="shared" si="53" ref="N62:N67">J62</f>
        <v>BBay Herring Spawn on Kelp</v>
      </c>
      <c r="O62" s="108">
        <f>IF(C62="-","-",VLOOKUP($B62,Table7data!$A:$F,5,FALSE))</f>
        <v>12</v>
      </c>
      <c r="P62" s="38" t="str">
        <f aca="true" t="shared" si="54" ref="P62:P67">IF(O62="-","none",IF(O62&lt;0,"decrease",IF(O62=0,"constant","increase")))</f>
        <v>increase</v>
      </c>
      <c r="Q62" s="16">
        <f aca="true" t="shared" si="55" ref="Q62:Q67">O62</f>
        <v>12</v>
      </c>
      <c r="R62" s="16" t="str">
        <f aca="true" t="shared" si="56" ref="R62:R67">N62</f>
        <v>BBay Herring Spawn on Kelp</v>
      </c>
      <c r="S62" s="108">
        <f>IF(C62="-","-",VLOOKUP($B62,Table7data!$A:$F,6,FALSE))</f>
        <v>9</v>
      </c>
      <c r="T62" s="38" t="str">
        <f aca="true" t="shared" si="57" ref="T62:T67">IF(S62="-","none",IF(S62&lt;0,"decrease",IF(S62=0,"constant","increase")))</f>
        <v>increase</v>
      </c>
      <c r="U62" s="16">
        <f aca="true" t="shared" si="58" ref="U62:U67">S62</f>
        <v>9</v>
      </c>
      <c r="V62" s="16" t="str">
        <f aca="true" t="shared" si="59" ref="V62:V67">R62</f>
        <v>BBay Herring Spawn on Kelp</v>
      </c>
    </row>
    <row r="63" spans="1:22" ht="15">
      <c r="A63" s="98" t="s">
        <v>281</v>
      </c>
      <c r="B63" s="24" t="s">
        <v>282</v>
      </c>
      <c r="C63" s="108">
        <f>IF(ISNA(VLOOKUP($B63,Table7data!$A:$F,2,FALSE)),"-",VLOOKUP($B63,Table7data!$A:$F,2,FALSE))</f>
        <v>0</v>
      </c>
      <c r="D63" s="38" t="str">
        <f t="shared" si="45"/>
        <v>constant</v>
      </c>
      <c r="E63" s="16">
        <f t="shared" si="46"/>
        <v>0</v>
      </c>
      <c r="F63" s="16" t="str">
        <f t="shared" si="47"/>
        <v>Norton Sd Her Beach Seine</v>
      </c>
      <c r="G63" s="108">
        <f>IF(C63="-","-",VLOOKUP($B63,Table7data!$A:$F,3,FALSE))</f>
        <v>-1</v>
      </c>
      <c r="H63" s="38" t="str">
        <f t="shared" si="48"/>
        <v>decrease</v>
      </c>
      <c r="I63" s="16">
        <f t="shared" si="49"/>
        <v>-1</v>
      </c>
      <c r="J63" s="16" t="str">
        <f t="shared" si="50"/>
        <v>Norton Sd Her Beach Seine</v>
      </c>
      <c r="K63" s="108">
        <f>IF(C63="-","-",VLOOKUP($B63,Table7data!$A:$F,4,FALSE))</f>
        <v>0</v>
      </c>
      <c r="L63" s="38" t="str">
        <f t="shared" si="51"/>
        <v>constant</v>
      </c>
      <c r="M63" s="16">
        <f t="shared" si="52"/>
        <v>0</v>
      </c>
      <c r="N63" s="16" t="str">
        <f t="shared" si="53"/>
        <v>Norton Sd Her Beach Seine</v>
      </c>
      <c r="O63" s="108">
        <f>IF(C63="-","-",VLOOKUP($B63,Table7data!$A:$F,5,FALSE))</f>
        <v>0</v>
      </c>
      <c r="P63" s="38" t="str">
        <f t="shared" si="54"/>
        <v>constant</v>
      </c>
      <c r="Q63" s="16">
        <f t="shared" si="55"/>
        <v>0</v>
      </c>
      <c r="R63" s="16" t="str">
        <f t="shared" si="56"/>
        <v>Norton Sd Her Beach Seine</v>
      </c>
      <c r="S63" s="108">
        <f>IF(C63="-","-",VLOOKUP($B63,Table7data!$A:$F,6,FALSE))</f>
        <v>1</v>
      </c>
      <c r="T63" s="38" t="str">
        <f t="shared" si="57"/>
        <v>increase</v>
      </c>
      <c r="U63" s="16">
        <f t="shared" si="58"/>
        <v>1</v>
      </c>
      <c r="V63" s="16" t="str">
        <f t="shared" si="59"/>
        <v>Norton Sd Her Beach Seine</v>
      </c>
    </row>
    <row r="64" spans="1:22" ht="15">
      <c r="A64" s="98" t="s">
        <v>283</v>
      </c>
      <c r="B64" s="24" t="s">
        <v>284</v>
      </c>
      <c r="C64" s="108">
        <f>IF(ISNA(VLOOKUP($B64,Table7data!$A:$F,2,FALSE)),"-",VLOOKUP($B64,Table7data!$A:$F,2,FALSE))</f>
        <v>-12</v>
      </c>
      <c r="D64" s="38" t="str">
        <f t="shared" si="45"/>
        <v>decrease</v>
      </c>
      <c r="E64" s="16">
        <f t="shared" si="46"/>
        <v>-12</v>
      </c>
      <c r="F64" s="16" t="str">
        <f t="shared" si="47"/>
        <v>Nelson Island Her Gillnet</v>
      </c>
      <c r="G64" s="108">
        <f>IF(C64="-","-",VLOOKUP($B64,Table7data!$A:$F,3,FALSE))</f>
        <v>1</v>
      </c>
      <c r="H64" s="38" t="str">
        <f t="shared" si="48"/>
        <v>increase</v>
      </c>
      <c r="I64" s="16">
        <f t="shared" si="49"/>
        <v>1</v>
      </c>
      <c r="J64" s="16" t="str">
        <f t="shared" si="50"/>
        <v>Nelson Island Her Gillnet</v>
      </c>
      <c r="K64" s="108">
        <f>IF(C64="-","-",VLOOKUP($B64,Table7data!$A:$F,4,FALSE))</f>
        <v>0</v>
      </c>
      <c r="L64" s="38" t="str">
        <f t="shared" si="51"/>
        <v>constant</v>
      </c>
      <c r="M64" s="16">
        <f t="shared" si="52"/>
        <v>0</v>
      </c>
      <c r="N64" s="16" t="str">
        <f t="shared" si="53"/>
        <v>Nelson Island Her Gillnet</v>
      </c>
      <c r="O64" s="108">
        <f>IF(C64="-","-",VLOOKUP($B64,Table7data!$A:$F,5,FALSE))</f>
        <v>9</v>
      </c>
      <c r="P64" s="38" t="str">
        <f t="shared" si="54"/>
        <v>increase</v>
      </c>
      <c r="Q64" s="16">
        <f t="shared" si="55"/>
        <v>9</v>
      </c>
      <c r="R64" s="16" t="str">
        <f t="shared" si="56"/>
        <v>Nelson Island Her Gillnet</v>
      </c>
      <c r="S64" s="108">
        <f>IF(C64="-","-",VLOOKUP($B64,Table7data!$A:$F,6,FALSE))</f>
        <v>2</v>
      </c>
      <c r="T64" s="38" t="str">
        <f t="shared" si="57"/>
        <v>increase</v>
      </c>
      <c r="U64" s="16">
        <f t="shared" si="58"/>
        <v>2</v>
      </c>
      <c r="V64" s="16" t="str">
        <f t="shared" si="59"/>
        <v>Nelson Island Her Gillnet</v>
      </c>
    </row>
    <row r="65" spans="1:22" ht="15">
      <c r="A65" s="98" t="s">
        <v>285</v>
      </c>
      <c r="B65" s="24" t="s">
        <v>286</v>
      </c>
      <c r="C65" s="108">
        <f>IF(ISNA(VLOOKUP($B65,Table7data!$A:$F,2,FALSE)),"-",VLOOKUP($B65,Table7data!$A:$F,2,FALSE))</f>
        <v>-5</v>
      </c>
      <c r="D65" s="38" t="str">
        <f t="shared" si="45"/>
        <v>decrease</v>
      </c>
      <c r="E65" s="16">
        <f t="shared" si="46"/>
        <v>-5</v>
      </c>
      <c r="F65" s="16" t="str">
        <f t="shared" si="47"/>
        <v>Nunivak Island Her Gillnet</v>
      </c>
      <c r="G65" s="108">
        <f>IF(C65="-","-",VLOOKUP($B65,Table7data!$A:$F,3,FALSE))</f>
        <v>-1</v>
      </c>
      <c r="H65" s="38" t="str">
        <f t="shared" si="48"/>
        <v>decrease</v>
      </c>
      <c r="I65" s="16">
        <f t="shared" si="49"/>
        <v>-1</v>
      </c>
      <c r="J65" s="16" t="str">
        <f t="shared" si="50"/>
        <v>Nunivak Island Her Gillnet</v>
      </c>
      <c r="K65" s="108">
        <f>IF(C65="-","-",VLOOKUP($B65,Table7data!$A:$F,4,FALSE))</f>
        <v>0</v>
      </c>
      <c r="L65" s="38" t="str">
        <f t="shared" si="51"/>
        <v>constant</v>
      </c>
      <c r="M65" s="16">
        <f t="shared" si="52"/>
        <v>0</v>
      </c>
      <c r="N65" s="16" t="str">
        <f t="shared" si="53"/>
        <v>Nunivak Island Her Gillnet</v>
      </c>
      <c r="O65" s="108">
        <f>IF(C65="-","-",VLOOKUP($B65,Table7data!$A:$F,5,FALSE))</f>
        <v>5</v>
      </c>
      <c r="P65" s="38" t="str">
        <f t="shared" si="54"/>
        <v>increase</v>
      </c>
      <c r="Q65" s="16">
        <f t="shared" si="55"/>
        <v>5</v>
      </c>
      <c r="R65" s="16" t="str">
        <f t="shared" si="56"/>
        <v>Nunivak Island Her Gillnet</v>
      </c>
      <c r="S65" s="108">
        <f>IF(C65="-","-",VLOOKUP($B65,Table7data!$A:$F,6,FALSE))</f>
        <v>1</v>
      </c>
      <c r="T65" s="38" t="str">
        <f t="shared" si="57"/>
        <v>increase</v>
      </c>
      <c r="U65" s="16">
        <f t="shared" si="58"/>
        <v>1</v>
      </c>
      <c r="V65" s="16" t="str">
        <f t="shared" si="59"/>
        <v>Nunivak Island Her Gillnet</v>
      </c>
    </row>
    <row r="66" spans="1:22" ht="15">
      <c r="A66" s="98" t="s">
        <v>287</v>
      </c>
      <c r="B66" s="24" t="s">
        <v>288</v>
      </c>
      <c r="C66" s="108">
        <f>IF(ISNA(VLOOKUP($B66,Table7data!$A:$F,2,FALSE)),"-",VLOOKUP($B66,Table7data!$A:$F,2,FALSE))</f>
        <v>-2</v>
      </c>
      <c r="D66" s="38" t="str">
        <f t="shared" si="45"/>
        <v>decrease</v>
      </c>
      <c r="E66" s="16">
        <f t="shared" si="46"/>
        <v>-2</v>
      </c>
      <c r="F66" s="16" t="str">
        <f t="shared" si="47"/>
        <v>Lower Yukon Herring Gillnet</v>
      </c>
      <c r="G66" s="108">
        <f>IF(C66="-","-",VLOOKUP($B66,Table7data!$A:$F,3,FALSE))</f>
        <v>1</v>
      </c>
      <c r="H66" s="38" t="str">
        <f t="shared" si="48"/>
        <v>increase</v>
      </c>
      <c r="I66" s="16">
        <f t="shared" si="49"/>
        <v>1</v>
      </c>
      <c r="J66" s="16" t="str">
        <f t="shared" si="50"/>
        <v>Lower Yukon Herring Gillnet</v>
      </c>
      <c r="K66" s="108">
        <f>IF(C66="-","-",VLOOKUP($B66,Table7data!$A:$F,4,FALSE))</f>
        <v>0</v>
      </c>
      <c r="L66" s="38" t="str">
        <f t="shared" si="51"/>
        <v>constant</v>
      </c>
      <c r="M66" s="16">
        <f t="shared" si="52"/>
        <v>0</v>
      </c>
      <c r="N66" s="16" t="str">
        <f t="shared" si="53"/>
        <v>Lower Yukon Herring Gillnet</v>
      </c>
      <c r="O66" s="108">
        <f>IF(C66="-","-",VLOOKUP($B66,Table7data!$A:$F,5,FALSE))</f>
        <v>1</v>
      </c>
      <c r="P66" s="38" t="str">
        <f t="shared" si="54"/>
        <v>increase</v>
      </c>
      <c r="Q66" s="16">
        <f t="shared" si="55"/>
        <v>1</v>
      </c>
      <c r="R66" s="16" t="str">
        <f t="shared" si="56"/>
        <v>Lower Yukon Herring Gillnet</v>
      </c>
      <c r="S66" s="108">
        <f>IF(C66="-","-",VLOOKUP($B66,Table7data!$A:$F,6,FALSE))</f>
        <v>0</v>
      </c>
      <c r="T66" s="38" t="str">
        <f t="shared" si="57"/>
        <v>constant</v>
      </c>
      <c r="U66" s="16">
        <f t="shared" si="58"/>
        <v>0</v>
      </c>
      <c r="V66" s="16" t="str">
        <f t="shared" si="59"/>
        <v>Lower Yukon Herring Gillnet</v>
      </c>
    </row>
    <row r="67" spans="1:22" ht="15">
      <c r="A67" s="98" t="s">
        <v>289</v>
      </c>
      <c r="B67" s="24" t="s">
        <v>290</v>
      </c>
      <c r="C67" s="109">
        <f>IF(ISNA(VLOOKUP($B67,Table7data!$A:$F,2,FALSE)),"-",VLOOKUP($B67,Table7data!$A:$F,2,FALSE))</f>
        <v>-7</v>
      </c>
      <c r="D67" s="38" t="str">
        <f t="shared" si="45"/>
        <v>decrease</v>
      </c>
      <c r="E67" s="16">
        <f t="shared" si="46"/>
        <v>-7</v>
      </c>
      <c r="F67" s="16" t="str">
        <f t="shared" si="47"/>
        <v>Norton Sd Herring Gillnet</v>
      </c>
      <c r="G67" s="109">
        <f>IF(C67="-","-",VLOOKUP($B67,Table7data!$A:$F,3,FALSE))</f>
        <v>-10</v>
      </c>
      <c r="H67" s="38" t="str">
        <f t="shared" si="48"/>
        <v>decrease</v>
      </c>
      <c r="I67" s="16">
        <f t="shared" si="49"/>
        <v>-10</v>
      </c>
      <c r="J67" s="16" t="str">
        <f t="shared" si="50"/>
        <v>Norton Sd Herring Gillnet</v>
      </c>
      <c r="K67" s="109">
        <f>IF(C67="-","-",VLOOKUP($B67,Table7data!$A:$F,4,FALSE))</f>
        <v>0</v>
      </c>
      <c r="L67" s="38" t="str">
        <f t="shared" si="51"/>
        <v>constant</v>
      </c>
      <c r="M67" s="16">
        <f t="shared" si="52"/>
        <v>0</v>
      </c>
      <c r="N67" s="16" t="str">
        <f t="shared" si="53"/>
        <v>Norton Sd Herring Gillnet</v>
      </c>
      <c r="O67" s="109">
        <f>IF(C67="-","-",VLOOKUP($B67,Table7data!$A:$F,5,FALSE))</f>
        <v>11</v>
      </c>
      <c r="P67" s="38" t="str">
        <f t="shared" si="54"/>
        <v>increase</v>
      </c>
      <c r="Q67" s="16">
        <f t="shared" si="55"/>
        <v>11</v>
      </c>
      <c r="R67" s="16" t="str">
        <f t="shared" si="56"/>
        <v>Norton Sd Herring Gillnet</v>
      </c>
      <c r="S67" s="109">
        <f>IF(C67="-","-",VLOOKUP($B67,Table7data!$A:$F,6,FALSE))</f>
        <v>6</v>
      </c>
      <c r="T67" s="38" t="str">
        <f t="shared" si="57"/>
        <v>increase</v>
      </c>
      <c r="U67" s="16">
        <f t="shared" si="58"/>
        <v>6</v>
      </c>
      <c r="V67" s="16" t="str">
        <f t="shared" si="59"/>
        <v>Norton Sd Herring Gillnet</v>
      </c>
    </row>
    <row r="68" spans="1:22" s="58" customFormat="1" ht="15">
      <c r="A68" s="59"/>
      <c r="B68" s="27"/>
      <c r="C68" s="110">
        <f>SUM(C62:C67)</f>
        <v>-51</v>
      </c>
      <c r="D68" s="110"/>
      <c r="E68" s="110"/>
      <c r="F68" s="110"/>
      <c r="G68" s="110">
        <f>SUM(G62:G67)</f>
        <v>-6</v>
      </c>
      <c r="H68" s="110"/>
      <c r="I68" s="110"/>
      <c r="J68" s="110"/>
      <c r="K68" s="110">
        <f>SUM(K62:K67)</f>
        <v>0</v>
      </c>
      <c r="L68" s="110"/>
      <c r="M68" s="110"/>
      <c r="N68" s="110"/>
      <c r="O68" s="110">
        <f>SUM(O62:O67)</f>
        <v>38</v>
      </c>
      <c r="P68" s="110"/>
      <c r="Q68" s="110"/>
      <c r="R68" s="110"/>
      <c r="S68" s="110">
        <f>SUM(S62:S67)</f>
        <v>19</v>
      </c>
      <c r="T68" s="110"/>
      <c r="U68" s="110"/>
      <c r="V68" s="110"/>
    </row>
    <row r="69" spans="1:2" ht="15">
      <c r="A69" s="53"/>
      <c r="B69" s="24"/>
    </row>
    <row r="70" spans="1:2" ht="15">
      <c r="A70" s="54" t="s">
        <v>381</v>
      </c>
      <c r="B70" s="24"/>
    </row>
    <row r="71" spans="1:2" ht="15">
      <c r="A71" s="54"/>
      <c r="B71" s="24"/>
    </row>
    <row r="72" spans="1:22" ht="15">
      <c r="A72" s="98" t="s">
        <v>293</v>
      </c>
      <c r="B72" s="24" t="s">
        <v>294</v>
      </c>
      <c r="C72" s="108">
        <f>IF(ISNA(VLOOKUP($B72,Table7data!$A:$F,2,FALSE)),"-",VLOOKUP($B72,Table7data!$A:$F,2,FALSE))</f>
        <v>0</v>
      </c>
      <c r="D72" s="38" t="str">
        <f aca="true" t="shared" si="60" ref="D72:D78">IF(C72="-","none",IF(C72&lt;0,"decrease",IF(C72=0,"constant","increase")))</f>
        <v>constant</v>
      </c>
      <c r="E72" s="16">
        <f aca="true" t="shared" si="61" ref="E72:E78">C72</f>
        <v>0</v>
      </c>
      <c r="F72" s="16" t="str">
        <f aca="true" t="shared" si="62" ref="F72:F78">A72</f>
        <v>SE Dungeness Dive</v>
      </c>
      <c r="G72" s="108">
        <f>IF(C72="-","-",VLOOKUP($B72,Table7data!$A:$F,3,FALSE))</f>
        <v>0</v>
      </c>
      <c r="H72" s="38" t="str">
        <f aca="true" t="shared" si="63" ref="H72:H78">IF(G72="-","none",IF(G72&lt;0,"decrease",IF(G72=0,"constant","increase")))</f>
        <v>constant</v>
      </c>
      <c r="I72" s="16">
        <f aca="true" t="shared" si="64" ref="I72:I78">G72</f>
        <v>0</v>
      </c>
      <c r="J72" s="16" t="str">
        <f aca="true" t="shared" si="65" ref="J72:J78">F72</f>
        <v>SE Dungeness Dive</v>
      </c>
      <c r="K72" s="108">
        <f>IF(C72="-","-",VLOOKUP($B72,Table7data!$A:$F,4,FALSE))</f>
        <v>-2</v>
      </c>
      <c r="L72" s="38" t="str">
        <f aca="true" t="shared" si="66" ref="L72:L78">IF(K72="-","none",IF(K72&lt;0,"decrease",IF(K72=0,"constant","increase")))</f>
        <v>decrease</v>
      </c>
      <c r="M72" s="16">
        <f aca="true" t="shared" si="67" ref="M72:M78">K72</f>
        <v>-2</v>
      </c>
      <c r="N72" s="16" t="str">
        <f aca="true" t="shared" si="68" ref="N72:N78">J72</f>
        <v>SE Dungeness Dive</v>
      </c>
      <c r="O72" s="108">
        <f>IF(C72="-","-",VLOOKUP($B72,Table7data!$A:$F,5,FALSE))</f>
        <v>0</v>
      </c>
      <c r="P72" s="38" t="str">
        <f aca="true" t="shared" si="69" ref="P72:P78">IF(O72="-","none",IF(O72&lt;0,"decrease",IF(O72=0,"constant","increase")))</f>
        <v>constant</v>
      </c>
      <c r="Q72" s="16">
        <f aca="true" t="shared" si="70" ref="Q72:Q78">O72</f>
        <v>0</v>
      </c>
      <c r="R72" s="16" t="str">
        <f aca="true" t="shared" si="71" ref="R72:R78">N72</f>
        <v>SE Dungeness Dive</v>
      </c>
      <c r="S72" s="108">
        <f>IF(C72="-","-",VLOOKUP($B72,Table7data!$A:$F,6,FALSE))</f>
        <v>2</v>
      </c>
      <c r="T72" s="38" t="str">
        <f aca="true" t="shared" si="72" ref="T72:T78">IF(S72="-","none",IF(S72&lt;0,"decrease",IF(S72=0,"constant","increase")))</f>
        <v>increase</v>
      </c>
      <c r="U72" s="16">
        <f aca="true" t="shared" si="73" ref="U72:U78">S72</f>
        <v>2</v>
      </c>
      <c r="V72" s="16" t="str">
        <f aca="true" t="shared" si="74" ref="V72:V78">R72</f>
        <v>SE Dungeness Dive</v>
      </c>
    </row>
    <row r="73" spans="1:22" ht="15">
      <c r="A73" s="98" t="s">
        <v>295</v>
      </c>
      <c r="B73" s="24" t="s">
        <v>296</v>
      </c>
      <c r="C73" s="108">
        <f>IF(ISNA(VLOOKUP($B73,Table7data!$A:$F,2,FALSE)),"-",VLOOKUP($B73,Table7data!$A:$F,2,FALSE))</f>
        <v>-1</v>
      </c>
      <c r="D73" s="38" t="str">
        <f t="shared" si="60"/>
        <v>decrease</v>
      </c>
      <c r="E73" s="16">
        <f t="shared" si="61"/>
        <v>-1</v>
      </c>
      <c r="F73" s="16" t="str">
        <f t="shared" si="62"/>
        <v>SE Dungeness 300 Pot</v>
      </c>
      <c r="G73" s="108">
        <f>IF(C73="-","-",VLOOKUP($B73,Table7data!$A:$F,3,FALSE))</f>
        <v>0</v>
      </c>
      <c r="H73" s="38" t="str">
        <f t="shared" si="63"/>
        <v>constant</v>
      </c>
      <c r="I73" s="16">
        <f t="shared" si="64"/>
        <v>0</v>
      </c>
      <c r="J73" s="16" t="str">
        <f t="shared" si="65"/>
        <v>SE Dungeness 300 Pot</v>
      </c>
      <c r="K73" s="108">
        <f>IF(C73="-","-",VLOOKUP($B73,Table7data!$A:$F,4,FALSE))</f>
        <v>-3</v>
      </c>
      <c r="L73" s="38" t="str">
        <f t="shared" si="66"/>
        <v>decrease</v>
      </c>
      <c r="M73" s="16">
        <f t="shared" si="67"/>
        <v>-3</v>
      </c>
      <c r="N73" s="16" t="str">
        <f t="shared" si="68"/>
        <v>SE Dungeness 300 Pot</v>
      </c>
      <c r="O73" s="108">
        <f>IF(C73="-","-",VLOOKUP($B73,Table7data!$A:$F,5,FALSE))</f>
        <v>-1</v>
      </c>
      <c r="P73" s="38" t="str">
        <f t="shared" si="69"/>
        <v>decrease</v>
      </c>
      <c r="Q73" s="16">
        <f t="shared" si="70"/>
        <v>-1</v>
      </c>
      <c r="R73" s="16" t="str">
        <f t="shared" si="71"/>
        <v>SE Dungeness 300 Pot</v>
      </c>
      <c r="S73" s="108">
        <f>IF(C73="-","-",VLOOKUP($B73,Table7data!$A:$F,6,FALSE))</f>
        <v>5</v>
      </c>
      <c r="T73" s="38" t="str">
        <f t="shared" si="72"/>
        <v>increase</v>
      </c>
      <c r="U73" s="16">
        <f t="shared" si="73"/>
        <v>5</v>
      </c>
      <c r="V73" s="16" t="str">
        <f t="shared" si="74"/>
        <v>SE Dungeness 300 Pot</v>
      </c>
    </row>
    <row r="74" spans="1:22" ht="15">
      <c r="A74" s="98" t="s">
        <v>297</v>
      </c>
      <c r="B74" s="24" t="s">
        <v>298</v>
      </c>
      <c r="C74" s="108">
        <f>IF(ISNA(VLOOKUP($B74,Table7data!$A:$F,2,FALSE)),"-",VLOOKUP($B74,Table7data!$A:$F,2,FALSE))</f>
        <v>-2</v>
      </c>
      <c r="D74" s="38" t="str">
        <f t="shared" si="60"/>
        <v>decrease</v>
      </c>
      <c r="E74" s="16">
        <f t="shared" si="61"/>
        <v>-2</v>
      </c>
      <c r="F74" s="16" t="str">
        <f t="shared" si="62"/>
        <v>SE Dungeness 225 Pot</v>
      </c>
      <c r="G74" s="108">
        <f>IF(C74="-","-",VLOOKUP($B74,Table7data!$A:$F,3,FALSE))</f>
        <v>0</v>
      </c>
      <c r="H74" s="38" t="str">
        <f t="shared" si="63"/>
        <v>constant</v>
      </c>
      <c r="I74" s="16">
        <f t="shared" si="64"/>
        <v>0</v>
      </c>
      <c r="J74" s="16" t="str">
        <f t="shared" si="65"/>
        <v>SE Dungeness 225 Pot</v>
      </c>
      <c r="K74" s="108">
        <f>IF(C74="-","-",VLOOKUP($B74,Table7data!$A:$F,4,FALSE))</f>
        <v>-2</v>
      </c>
      <c r="L74" s="38" t="str">
        <f t="shared" si="66"/>
        <v>decrease</v>
      </c>
      <c r="M74" s="16">
        <f t="shared" si="67"/>
        <v>-2</v>
      </c>
      <c r="N74" s="16" t="str">
        <f t="shared" si="68"/>
        <v>SE Dungeness 225 Pot</v>
      </c>
      <c r="O74" s="108">
        <f>IF(C74="-","-",VLOOKUP($B74,Table7data!$A:$F,5,FALSE))</f>
        <v>1</v>
      </c>
      <c r="P74" s="38" t="str">
        <f t="shared" si="69"/>
        <v>increase</v>
      </c>
      <c r="Q74" s="16">
        <f t="shared" si="70"/>
        <v>1</v>
      </c>
      <c r="R74" s="16" t="str">
        <f t="shared" si="71"/>
        <v>SE Dungeness 225 Pot</v>
      </c>
      <c r="S74" s="108">
        <f>IF(C74="-","-",VLOOKUP($B74,Table7data!$A:$F,6,FALSE))</f>
        <v>3</v>
      </c>
      <c r="T74" s="38" t="str">
        <f t="shared" si="72"/>
        <v>increase</v>
      </c>
      <c r="U74" s="16">
        <f t="shared" si="73"/>
        <v>3</v>
      </c>
      <c r="V74" s="16" t="str">
        <f t="shared" si="74"/>
        <v>SE Dungeness 225 Pot</v>
      </c>
    </row>
    <row r="75" spans="1:22" ht="15">
      <c r="A75" s="98" t="s">
        <v>299</v>
      </c>
      <c r="B75" s="24" t="s">
        <v>300</v>
      </c>
      <c r="C75" s="108">
        <f>IF(ISNA(VLOOKUP($B75,Table7data!$A:$F,2,FALSE)),"-",VLOOKUP($B75,Table7data!$A:$F,2,FALSE))</f>
        <v>-3</v>
      </c>
      <c r="D75" s="38" t="str">
        <f t="shared" si="60"/>
        <v>decrease</v>
      </c>
      <c r="E75" s="16">
        <f t="shared" si="61"/>
        <v>-3</v>
      </c>
      <c r="F75" s="16" t="str">
        <f t="shared" si="62"/>
        <v>SE Dungeness 150 Pot</v>
      </c>
      <c r="G75" s="108">
        <f>IF(C75="-","-",VLOOKUP($B75,Table7data!$A:$F,3,FALSE))</f>
        <v>0</v>
      </c>
      <c r="H75" s="38" t="str">
        <f t="shared" si="63"/>
        <v>constant</v>
      </c>
      <c r="I75" s="16">
        <f t="shared" si="64"/>
        <v>0</v>
      </c>
      <c r="J75" s="16" t="str">
        <f t="shared" si="65"/>
        <v>SE Dungeness 150 Pot</v>
      </c>
      <c r="K75" s="108">
        <f>IF(C75="-","-",VLOOKUP($B75,Table7data!$A:$F,4,FALSE))</f>
        <v>-2</v>
      </c>
      <c r="L75" s="38" t="str">
        <f t="shared" si="66"/>
        <v>decrease</v>
      </c>
      <c r="M75" s="16">
        <f t="shared" si="67"/>
        <v>-2</v>
      </c>
      <c r="N75" s="16" t="str">
        <f t="shared" si="68"/>
        <v>SE Dungeness 150 Pot</v>
      </c>
      <c r="O75" s="108">
        <f>IF(C75="-","-",VLOOKUP($B75,Table7data!$A:$F,5,FALSE))</f>
        <v>4</v>
      </c>
      <c r="P75" s="38" t="str">
        <f t="shared" si="69"/>
        <v>increase</v>
      </c>
      <c r="Q75" s="16">
        <f t="shared" si="70"/>
        <v>4</v>
      </c>
      <c r="R75" s="16" t="str">
        <f t="shared" si="71"/>
        <v>SE Dungeness 150 Pot</v>
      </c>
      <c r="S75" s="108">
        <f>IF(C75="-","-",VLOOKUP($B75,Table7data!$A:$F,6,FALSE))</f>
        <v>1</v>
      </c>
      <c r="T75" s="38" t="str">
        <f t="shared" si="72"/>
        <v>increase</v>
      </c>
      <c r="U75" s="16">
        <f t="shared" si="73"/>
        <v>1</v>
      </c>
      <c r="V75" s="16" t="str">
        <f t="shared" si="74"/>
        <v>SE Dungeness 150 Pot</v>
      </c>
    </row>
    <row r="76" spans="1:22" ht="15">
      <c r="A76" s="98" t="s">
        <v>301</v>
      </c>
      <c r="B76" s="24" t="s">
        <v>302</v>
      </c>
      <c r="C76" s="108">
        <f>IF(ISNA(VLOOKUP($B76,Table7data!$A:$F,2,FALSE)),"-",VLOOKUP($B76,Table7data!$A:$F,2,FALSE))</f>
        <v>-4</v>
      </c>
      <c r="D76" s="38" t="str">
        <f t="shared" si="60"/>
        <v>decrease</v>
      </c>
      <c r="E76" s="16">
        <f t="shared" si="61"/>
        <v>-4</v>
      </c>
      <c r="F76" s="16" t="str">
        <f t="shared" si="62"/>
        <v>SE Dungeness 75 Pot</v>
      </c>
      <c r="G76" s="108">
        <f>IF(C76="-","-",VLOOKUP($B76,Table7data!$A:$F,3,FALSE))</f>
        <v>-1</v>
      </c>
      <c r="H76" s="38" t="str">
        <f t="shared" si="63"/>
        <v>decrease</v>
      </c>
      <c r="I76" s="16">
        <f t="shared" si="64"/>
        <v>-1</v>
      </c>
      <c r="J76" s="16" t="str">
        <f t="shared" si="65"/>
        <v>SE Dungeness 75 Pot</v>
      </c>
      <c r="K76" s="108">
        <f>IF(C76="-","-",VLOOKUP($B76,Table7data!$A:$F,4,FALSE))</f>
        <v>2</v>
      </c>
      <c r="L76" s="38" t="str">
        <f t="shared" si="66"/>
        <v>increase</v>
      </c>
      <c r="M76" s="16">
        <f t="shared" si="67"/>
        <v>2</v>
      </c>
      <c r="N76" s="16" t="str">
        <f t="shared" si="68"/>
        <v>SE Dungeness 75 Pot</v>
      </c>
      <c r="O76" s="108">
        <f>IF(C76="-","-",VLOOKUP($B76,Table7data!$A:$F,5,FALSE))</f>
        <v>1</v>
      </c>
      <c r="P76" s="38" t="str">
        <f t="shared" si="69"/>
        <v>increase</v>
      </c>
      <c r="Q76" s="16">
        <f t="shared" si="70"/>
        <v>1</v>
      </c>
      <c r="R76" s="16" t="str">
        <f t="shared" si="71"/>
        <v>SE Dungeness 75 Pot</v>
      </c>
      <c r="S76" s="108">
        <f>IF(C76="-","-",VLOOKUP($B76,Table7data!$A:$F,6,FALSE))</f>
        <v>2</v>
      </c>
      <c r="T76" s="38" t="str">
        <f t="shared" si="72"/>
        <v>increase</v>
      </c>
      <c r="U76" s="16">
        <f t="shared" si="73"/>
        <v>2</v>
      </c>
      <c r="V76" s="16" t="str">
        <f t="shared" si="74"/>
        <v>SE Dungeness 75 Pot</v>
      </c>
    </row>
    <row r="77" spans="1:22" ht="15">
      <c r="A77" s="98" t="s">
        <v>303</v>
      </c>
      <c r="B77" s="98" t="s">
        <v>304</v>
      </c>
      <c r="C77" s="108" t="str">
        <f>IF(ISNA(VLOOKUP($B77,Table7data!$A:$F,2,FALSE)),"-",VLOOKUP($B77,Table7data!$A:$F,2,FALSE))</f>
        <v>-</v>
      </c>
      <c r="D77" s="38" t="str">
        <f t="shared" si="60"/>
        <v>none</v>
      </c>
      <c r="E77" s="16" t="str">
        <f t="shared" si="61"/>
        <v>-</v>
      </c>
      <c r="F77" s="16" t="str">
        <f t="shared" si="62"/>
        <v>Cook Inlet Dunge Ring Net</v>
      </c>
      <c r="G77" s="108" t="str">
        <f>IF(C77="-","-",VLOOKUP($B77,Table7data!$A:$F,3,FALSE))</f>
        <v>-</v>
      </c>
      <c r="H77" s="38" t="str">
        <f t="shared" si="63"/>
        <v>none</v>
      </c>
      <c r="I77" s="16" t="str">
        <f t="shared" si="64"/>
        <v>-</v>
      </c>
      <c r="J77" s="16" t="str">
        <f t="shared" si="65"/>
        <v>Cook Inlet Dunge Ring Net</v>
      </c>
      <c r="K77" s="108" t="str">
        <f>IF(C77="-","-",VLOOKUP($B77,Table7data!$A:$F,4,FALSE))</f>
        <v>-</v>
      </c>
      <c r="L77" s="38" t="str">
        <f t="shared" si="66"/>
        <v>none</v>
      </c>
      <c r="M77" s="16" t="str">
        <f t="shared" si="67"/>
        <v>-</v>
      </c>
      <c r="N77" s="16" t="str">
        <f t="shared" si="68"/>
        <v>Cook Inlet Dunge Ring Net</v>
      </c>
      <c r="O77" s="108" t="str">
        <f>IF(C77="-","-",VLOOKUP($B77,Table7data!$A:$F,5,FALSE))</f>
        <v>-</v>
      </c>
      <c r="P77" s="38" t="str">
        <f t="shared" si="69"/>
        <v>none</v>
      </c>
      <c r="Q77" s="16" t="str">
        <f t="shared" si="70"/>
        <v>-</v>
      </c>
      <c r="R77" s="16" t="str">
        <f t="shared" si="71"/>
        <v>Cook Inlet Dunge Ring Net</v>
      </c>
      <c r="S77" s="108" t="str">
        <f>IF(C77="-","-",VLOOKUP($B77,Table7data!$A:$F,6,FALSE))</f>
        <v>-</v>
      </c>
      <c r="T77" s="38" t="str">
        <f t="shared" si="72"/>
        <v>none</v>
      </c>
      <c r="U77" s="16" t="str">
        <f t="shared" si="73"/>
        <v>-</v>
      </c>
      <c r="V77" s="16" t="str">
        <f t="shared" si="74"/>
        <v>Cook Inlet Dunge Ring Net</v>
      </c>
    </row>
    <row r="78" spans="1:22" ht="15">
      <c r="A78" s="98" t="s">
        <v>305</v>
      </c>
      <c r="B78" s="24" t="s">
        <v>306</v>
      </c>
      <c r="C78" s="109">
        <f>IF(ISNA(VLOOKUP($B78,Table7data!$A:$F,2,FALSE)),"-",VLOOKUP($B78,Table7data!$A:$F,2,FALSE))</f>
        <v>-2</v>
      </c>
      <c r="D78" s="38" t="str">
        <f t="shared" si="60"/>
        <v>decrease</v>
      </c>
      <c r="E78" s="16">
        <f t="shared" si="61"/>
        <v>-2</v>
      </c>
      <c r="F78" s="16" t="str">
        <f t="shared" si="62"/>
        <v>Cook Inlet Dungeness Pot</v>
      </c>
      <c r="G78" s="109">
        <f>IF(C78="-","-",VLOOKUP($B78,Table7data!$A:$F,3,FALSE))</f>
        <v>-1</v>
      </c>
      <c r="H78" s="38" t="str">
        <f t="shared" si="63"/>
        <v>decrease</v>
      </c>
      <c r="I78" s="16">
        <f t="shared" si="64"/>
        <v>-1</v>
      </c>
      <c r="J78" s="16" t="str">
        <f t="shared" si="65"/>
        <v>Cook Inlet Dungeness Pot</v>
      </c>
      <c r="K78" s="109">
        <f>IF(C78="-","-",VLOOKUP($B78,Table7data!$A:$F,4,FALSE))</f>
        <v>2</v>
      </c>
      <c r="L78" s="38" t="str">
        <f t="shared" si="66"/>
        <v>increase</v>
      </c>
      <c r="M78" s="16">
        <f t="shared" si="67"/>
        <v>2</v>
      </c>
      <c r="N78" s="16" t="str">
        <f t="shared" si="68"/>
        <v>Cook Inlet Dungeness Pot</v>
      </c>
      <c r="O78" s="109">
        <f>IF(C78="-","-",VLOOKUP($B78,Table7data!$A:$F,5,FALSE))</f>
        <v>0</v>
      </c>
      <c r="P78" s="38" t="str">
        <f t="shared" si="69"/>
        <v>constant</v>
      </c>
      <c r="Q78" s="16">
        <f t="shared" si="70"/>
        <v>0</v>
      </c>
      <c r="R78" s="16" t="str">
        <f t="shared" si="71"/>
        <v>Cook Inlet Dungeness Pot</v>
      </c>
      <c r="S78" s="109">
        <f>IF(C78="-","-",VLOOKUP($B78,Table7data!$A:$F,6,FALSE))</f>
        <v>1</v>
      </c>
      <c r="T78" s="38" t="str">
        <f t="shared" si="72"/>
        <v>increase</v>
      </c>
      <c r="U78" s="16">
        <f t="shared" si="73"/>
        <v>1</v>
      </c>
      <c r="V78" s="16" t="str">
        <f t="shared" si="74"/>
        <v>Cook Inlet Dungeness Pot</v>
      </c>
    </row>
    <row r="79" spans="1:22" s="58" customFormat="1" ht="15">
      <c r="A79" s="59"/>
      <c r="B79" s="27"/>
      <c r="C79" s="110">
        <f>SUM(C72:C78)</f>
        <v>-12</v>
      </c>
      <c r="D79" s="110"/>
      <c r="E79" s="110"/>
      <c r="F79" s="110"/>
      <c r="G79" s="110">
        <f>SUM(G72:G78)</f>
        <v>-2</v>
      </c>
      <c r="H79" s="110"/>
      <c r="I79" s="110"/>
      <c r="J79" s="110"/>
      <c r="K79" s="110">
        <f>SUM(K72:K78)</f>
        <v>-5</v>
      </c>
      <c r="L79" s="110"/>
      <c r="M79" s="110"/>
      <c r="N79" s="110"/>
      <c r="O79" s="110">
        <f>SUM(O72:O78)</f>
        <v>5</v>
      </c>
      <c r="P79" s="110"/>
      <c r="Q79" s="110"/>
      <c r="R79" s="110"/>
      <c r="S79" s="110">
        <f>SUM(S72:S78)</f>
        <v>14</v>
      </c>
      <c r="T79" s="110"/>
      <c r="U79" s="110"/>
      <c r="V79" s="110"/>
    </row>
    <row r="80" spans="1:2" ht="15">
      <c r="A80" s="53"/>
      <c r="B80" s="24"/>
    </row>
    <row r="81" spans="1:2" ht="15">
      <c r="A81" s="54" t="s">
        <v>368</v>
      </c>
      <c r="B81" s="24"/>
    </row>
    <row r="82" spans="1:22" ht="15">
      <c r="A82" s="98" t="s">
        <v>307</v>
      </c>
      <c r="B82" s="10" t="s">
        <v>308</v>
      </c>
      <c r="C82" s="108">
        <f>IF(ISNA(VLOOKUP($B82,Table7data!$A:$F,2,FALSE)),"-",VLOOKUP($B82,Table7data!$A:$F,2,FALSE))</f>
        <v>0</v>
      </c>
      <c r="D82" s="38" t="str">
        <f aca="true" t="shared" si="75" ref="D82:D91">IF(C82="-","none",IF(C82&lt;0,"decrease",IF(C82=0,"constant","increase")))</f>
        <v>constant</v>
      </c>
      <c r="E82" s="16">
        <f aca="true" t="shared" si="76" ref="E82:E91">C82</f>
        <v>0</v>
      </c>
      <c r="F82" s="16" t="str">
        <f aca="true" t="shared" si="77" ref="F82:F91">A82</f>
        <v>NSE Her Spawn on Kelp Pound</v>
      </c>
      <c r="G82" s="108">
        <f>IF(C82="-","-",VLOOKUP($B82,Table7data!$A:$F,3,FALSE))</f>
        <v>1</v>
      </c>
      <c r="H82" s="38" t="str">
        <f aca="true" t="shared" si="78" ref="H82:H91">IF(G82="-","none",IF(G82&lt;0,"decrease",IF(G82=0,"constant","increase")))</f>
        <v>increase</v>
      </c>
      <c r="I82" s="16">
        <f aca="true" t="shared" si="79" ref="I82:I91">G82</f>
        <v>1</v>
      </c>
      <c r="J82" s="16" t="str">
        <f aca="true" t="shared" si="80" ref="J82:J91">F82</f>
        <v>NSE Her Spawn on Kelp Pound</v>
      </c>
      <c r="K82" s="108">
        <f>IF(C82="-","-",VLOOKUP($B82,Table7data!$A:$F,4,FALSE))</f>
        <v>-4</v>
      </c>
      <c r="L82" s="38" t="str">
        <f aca="true" t="shared" si="81" ref="L82:L91">IF(K82="-","none",IF(K82&lt;0,"decrease",IF(K82=0,"constant","increase")))</f>
        <v>decrease</v>
      </c>
      <c r="M82" s="16">
        <f aca="true" t="shared" si="82" ref="M82:M91">K82</f>
        <v>-4</v>
      </c>
      <c r="N82" s="16" t="str">
        <f aca="true" t="shared" si="83" ref="N82:N91">J82</f>
        <v>NSE Her Spawn on Kelp Pound</v>
      </c>
      <c r="O82" s="108">
        <f>IF(C82="-","-",VLOOKUP($B82,Table7data!$A:$F,5,FALSE))</f>
        <v>-1</v>
      </c>
      <c r="P82" s="38" t="str">
        <f aca="true" t="shared" si="84" ref="P82:P91">IF(O82="-","none",IF(O82&lt;0,"decrease",IF(O82=0,"constant","increase")))</f>
        <v>decrease</v>
      </c>
      <c r="Q82" s="16">
        <f aca="true" t="shared" si="85" ref="Q82:Q91">O82</f>
        <v>-1</v>
      </c>
      <c r="R82" s="16" t="str">
        <f aca="true" t="shared" si="86" ref="R82:R91">N82</f>
        <v>NSE Her Spawn on Kelp Pound</v>
      </c>
      <c r="S82" s="108">
        <f>IF(C82="-","-",VLOOKUP($B82,Table7data!$A:$F,6,FALSE))</f>
        <v>4</v>
      </c>
      <c r="T82" s="38" t="str">
        <f aca="true" t="shared" si="87" ref="T82:T91">IF(S82="-","none",IF(S82&lt;0,"decrease",IF(S82=0,"constant","increase")))</f>
        <v>increase</v>
      </c>
      <c r="U82" s="16">
        <f aca="true" t="shared" si="88" ref="U82:U91">S82</f>
        <v>4</v>
      </c>
      <c r="V82" s="16" t="str">
        <f aca="true" t="shared" si="89" ref="V82:V91">R82</f>
        <v>NSE Her Spawn on Kelp Pound</v>
      </c>
    </row>
    <row r="83" spans="1:22" ht="15">
      <c r="A83" s="98" t="s">
        <v>309</v>
      </c>
      <c r="B83" s="10" t="s">
        <v>310</v>
      </c>
      <c r="C83" s="108">
        <f>IF(ISNA(VLOOKUP($B83,Table7data!$A:$F,2,FALSE)),"-",VLOOKUP($B83,Table7data!$A:$F,2,FALSE))</f>
        <v>-15</v>
      </c>
      <c r="D83" s="38" t="str">
        <f t="shared" si="75"/>
        <v>decrease</v>
      </c>
      <c r="E83" s="16">
        <f t="shared" si="76"/>
        <v>-15</v>
      </c>
      <c r="F83" s="16" t="str">
        <f t="shared" si="77"/>
        <v>SSE Her Spawn on Kelp Pound</v>
      </c>
      <c r="G83" s="108">
        <f>IF(C83="-","-",VLOOKUP($B83,Table7data!$A:$F,3,FALSE))</f>
        <v>-1</v>
      </c>
      <c r="H83" s="38" t="str">
        <f t="shared" si="78"/>
        <v>decrease</v>
      </c>
      <c r="I83" s="16">
        <f t="shared" si="79"/>
        <v>-1</v>
      </c>
      <c r="J83" s="16" t="str">
        <f t="shared" si="80"/>
        <v>SSE Her Spawn on Kelp Pound</v>
      </c>
      <c r="K83" s="108">
        <f>IF(C83="-","-",VLOOKUP($B83,Table7data!$A:$F,4,FALSE))</f>
        <v>1</v>
      </c>
      <c r="L83" s="38" t="str">
        <f t="shared" si="81"/>
        <v>increase</v>
      </c>
      <c r="M83" s="16">
        <f t="shared" si="82"/>
        <v>1</v>
      </c>
      <c r="N83" s="16" t="str">
        <f t="shared" si="83"/>
        <v>SSE Her Spawn on Kelp Pound</v>
      </c>
      <c r="O83" s="108">
        <f>IF(C83="-","-",VLOOKUP($B83,Table7data!$A:$F,5,FALSE))</f>
        <v>0</v>
      </c>
      <c r="P83" s="38" t="str">
        <f t="shared" si="84"/>
        <v>constant</v>
      </c>
      <c r="Q83" s="16">
        <f t="shared" si="85"/>
        <v>0</v>
      </c>
      <c r="R83" s="16" t="str">
        <f t="shared" si="86"/>
        <v>SSE Her Spawn on Kelp Pound</v>
      </c>
      <c r="S83" s="108">
        <f>IF(C83="-","-",VLOOKUP($B83,Table7data!$A:$F,6,FALSE))</f>
        <v>15</v>
      </c>
      <c r="T83" s="38" t="str">
        <f t="shared" si="87"/>
        <v>increase</v>
      </c>
      <c r="U83" s="16">
        <f t="shared" si="88"/>
        <v>15</v>
      </c>
      <c r="V83" s="16" t="str">
        <f t="shared" si="89"/>
        <v>SSE Her Spawn on Kelp Pound</v>
      </c>
    </row>
    <row r="84" spans="1:22" ht="15">
      <c r="A84" s="98" t="s">
        <v>311</v>
      </c>
      <c r="B84" s="98" t="s">
        <v>312</v>
      </c>
      <c r="C84" s="108" t="str">
        <f>IF(ISNA(VLOOKUP($B84,Table7data!$A:$F,2,FALSE)),"-",VLOOKUP($B84,Table7data!$A:$F,2,FALSE))</f>
        <v>-</v>
      </c>
      <c r="D84" s="38" t="str">
        <f t="shared" si="75"/>
        <v>none</v>
      </c>
      <c r="E84" s="16" t="str">
        <f t="shared" si="76"/>
        <v>-</v>
      </c>
      <c r="F84" s="16" t="str">
        <f t="shared" si="77"/>
        <v>SE Shrimp Otter Trawl</v>
      </c>
      <c r="G84" s="108" t="str">
        <f>IF(C84="-","-",VLOOKUP($B84,Table7data!$A:$F,3,FALSE))</f>
        <v>-</v>
      </c>
      <c r="H84" s="38" t="str">
        <f t="shared" si="78"/>
        <v>none</v>
      </c>
      <c r="I84" s="16" t="str">
        <f t="shared" si="79"/>
        <v>-</v>
      </c>
      <c r="J84" s="16" t="str">
        <f t="shared" si="80"/>
        <v>SE Shrimp Otter Trawl</v>
      </c>
      <c r="K84" s="108" t="str">
        <f>IF(C84="-","-",VLOOKUP($B84,Table7data!$A:$F,4,FALSE))</f>
        <v>-</v>
      </c>
      <c r="L84" s="38" t="str">
        <f t="shared" si="81"/>
        <v>none</v>
      </c>
      <c r="M84" s="16" t="str">
        <f t="shared" si="82"/>
        <v>-</v>
      </c>
      <c r="N84" s="16" t="str">
        <f t="shared" si="83"/>
        <v>SE Shrimp Otter Trawl</v>
      </c>
      <c r="O84" s="108" t="str">
        <f>IF(C84="-","-",VLOOKUP($B84,Table7data!$A:$F,5,FALSE))</f>
        <v>-</v>
      </c>
      <c r="P84" s="38" t="str">
        <f t="shared" si="84"/>
        <v>none</v>
      </c>
      <c r="Q84" s="16" t="str">
        <f t="shared" si="85"/>
        <v>-</v>
      </c>
      <c r="R84" s="16" t="str">
        <f t="shared" si="86"/>
        <v>SE Shrimp Otter Trawl</v>
      </c>
      <c r="S84" s="108" t="str">
        <f>IF(C84="-","-",VLOOKUP($B84,Table7data!$A:$F,6,FALSE))</f>
        <v>-</v>
      </c>
      <c r="T84" s="38" t="str">
        <f t="shared" si="87"/>
        <v>none</v>
      </c>
      <c r="U84" s="16" t="str">
        <f t="shared" si="88"/>
        <v>-</v>
      </c>
      <c r="V84" s="16" t="str">
        <f t="shared" si="89"/>
        <v>SE Shrimp Otter Trawl</v>
      </c>
    </row>
    <row r="85" spans="1:22" ht="15">
      <c r="A85" s="98" t="s">
        <v>313</v>
      </c>
      <c r="B85" s="24" t="s">
        <v>314</v>
      </c>
      <c r="C85" s="108">
        <f>IF(ISNA(VLOOKUP($B85,Table7data!$A:$F,2,FALSE)),"-",VLOOKUP($B85,Table7data!$A:$F,2,FALSE))</f>
        <v>0</v>
      </c>
      <c r="D85" s="38" t="str">
        <f t="shared" si="75"/>
        <v>constant</v>
      </c>
      <c r="E85" s="16">
        <f t="shared" si="76"/>
        <v>0</v>
      </c>
      <c r="F85" s="16" t="str">
        <f t="shared" si="77"/>
        <v>SE Shrimp Beam Trawl</v>
      </c>
      <c r="G85" s="108">
        <f>IF(C85="-","-",VLOOKUP($B85,Table7data!$A:$F,3,FALSE))</f>
        <v>0</v>
      </c>
      <c r="H85" s="38" t="str">
        <f t="shared" si="78"/>
        <v>constant</v>
      </c>
      <c r="I85" s="16">
        <f t="shared" si="79"/>
        <v>0</v>
      </c>
      <c r="J85" s="16" t="str">
        <f t="shared" si="80"/>
        <v>SE Shrimp Beam Trawl</v>
      </c>
      <c r="K85" s="108">
        <f>IF(C85="-","-",VLOOKUP($B85,Table7data!$A:$F,4,FALSE))</f>
        <v>0</v>
      </c>
      <c r="L85" s="38" t="str">
        <f t="shared" si="81"/>
        <v>constant</v>
      </c>
      <c r="M85" s="16">
        <f t="shared" si="82"/>
        <v>0</v>
      </c>
      <c r="N85" s="16" t="str">
        <f t="shared" si="83"/>
        <v>SE Shrimp Beam Trawl</v>
      </c>
      <c r="O85" s="108">
        <f>IF(C85="-","-",VLOOKUP($B85,Table7data!$A:$F,5,FALSE))</f>
        <v>0</v>
      </c>
      <c r="P85" s="38" t="str">
        <f t="shared" si="84"/>
        <v>constant</v>
      </c>
      <c r="Q85" s="16">
        <f t="shared" si="85"/>
        <v>0</v>
      </c>
      <c r="R85" s="16" t="str">
        <f t="shared" si="86"/>
        <v>SE Shrimp Beam Trawl</v>
      </c>
      <c r="S85" s="108">
        <f>IF(C85="-","-",VLOOKUP($B85,Table7data!$A:$F,6,FALSE))</f>
        <v>0</v>
      </c>
      <c r="T85" s="38" t="str">
        <f t="shared" si="87"/>
        <v>constant</v>
      </c>
      <c r="U85" s="16">
        <f t="shared" si="88"/>
        <v>0</v>
      </c>
      <c r="V85" s="16" t="str">
        <f t="shared" si="89"/>
        <v>SE Shrimp Beam Trawl</v>
      </c>
    </row>
    <row r="86" spans="1:22" ht="15">
      <c r="A86" s="98" t="s">
        <v>315</v>
      </c>
      <c r="B86" s="24" t="s">
        <v>316</v>
      </c>
      <c r="C86" s="108">
        <f>IF(ISNA(VLOOKUP($B86,Table7data!$A:$F,2,FALSE)),"-",VLOOKUP($B86,Table7data!$A:$F,2,FALSE))</f>
        <v>0</v>
      </c>
      <c r="D86" s="38" t="str">
        <f t="shared" si="75"/>
        <v>constant</v>
      </c>
      <c r="E86" s="16">
        <f t="shared" si="76"/>
        <v>0</v>
      </c>
      <c r="F86" s="16" t="str">
        <f t="shared" si="77"/>
        <v>SE Shrimp Pot</v>
      </c>
      <c r="G86" s="108">
        <f>IF(C86="-","-",VLOOKUP($B86,Table7data!$A:$F,3,FALSE))</f>
        <v>-1</v>
      </c>
      <c r="H86" s="38" t="str">
        <f t="shared" si="78"/>
        <v>decrease</v>
      </c>
      <c r="I86" s="16">
        <f t="shared" si="79"/>
        <v>-1</v>
      </c>
      <c r="J86" s="16" t="str">
        <f t="shared" si="80"/>
        <v>SE Shrimp Pot</v>
      </c>
      <c r="K86" s="108">
        <f>IF(C86="-","-",VLOOKUP($B86,Table7data!$A:$F,4,FALSE))</f>
        <v>-14</v>
      </c>
      <c r="L86" s="38" t="str">
        <f t="shared" si="81"/>
        <v>decrease</v>
      </c>
      <c r="M86" s="16">
        <f t="shared" si="82"/>
        <v>-14</v>
      </c>
      <c r="N86" s="16" t="str">
        <f t="shared" si="83"/>
        <v>SE Shrimp Pot</v>
      </c>
      <c r="O86" s="108">
        <f>IF(C86="-","-",VLOOKUP($B86,Table7data!$A:$F,5,FALSE))</f>
        <v>4</v>
      </c>
      <c r="P86" s="38" t="str">
        <f t="shared" si="84"/>
        <v>increase</v>
      </c>
      <c r="Q86" s="16">
        <f t="shared" si="85"/>
        <v>4</v>
      </c>
      <c r="R86" s="16" t="str">
        <f t="shared" si="86"/>
        <v>SE Shrimp Pot</v>
      </c>
      <c r="S86" s="108">
        <f>IF(C86="-","-",VLOOKUP($B86,Table7data!$A:$F,6,FALSE))</f>
        <v>11</v>
      </c>
      <c r="T86" s="38" t="str">
        <f t="shared" si="87"/>
        <v>increase</v>
      </c>
      <c r="U86" s="16">
        <f t="shared" si="88"/>
        <v>11</v>
      </c>
      <c r="V86" s="16" t="str">
        <f t="shared" si="89"/>
        <v>SE Shrimp Pot</v>
      </c>
    </row>
    <row r="87" spans="1:22" ht="15">
      <c r="A87" s="98" t="s">
        <v>317</v>
      </c>
      <c r="B87" s="98" t="s">
        <v>318</v>
      </c>
      <c r="C87" s="108" t="str">
        <f>IF(ISNA(VLOOKUP($B87,Table7data!$A:$F,2,FALSE)),"-",VLOOKUP($B87,Table7data!$A:$F,2,FALSE))</f>
        <v>-</v>
      </c>
      <c r="D87" s="38" t="str">
        <f t="shared" si="75"/>
        <v>none</v>
      </c>
      <c r="E87" s="16" t="str">
        <f t="shared" si="76"/>
        <v>-</v>
      </c>
      <c r="F87" s="16" t="str">
        <f t="shared" si="77"/>
        <v>PWS Sablefish Net Gear</v>
      </c>
      <c r="G87" s="108" t="str">
        <f>IF(C87="-","-",VLOOKUP($B87,Table7data!$A:$F,3,FALSE))</f>
        <v>-</v>
      </c>
      <c r="H87" s="38" t="str">
        <f t="shared" si="78"/>
        <v>none</v>
      </c>
      <c r="I87" s="16" t="str">
        <f t="shared" si="79"/>
        <v>-</v>
      </c>
      <c r="J87" s="16" t="str">
        <f t="shared" si="80"/>
        <v>PWS Sablefish Net Gear</v>
      </c>
      <c r="K87" s="108" t="str">
        <f>IF(C87="-","-",VLOOKUP($B87,Table7data!$A:$F,4,FALSE))</f>
        <v>-</v>
      </c>
      <c r="L87" s="38" t="str">
        <f t="shared" si="81"/>
        <v>none</v>
      </c>
      <c r="M87" s="16" t="str">
        <f t="shared" si="82"/>
        <v>-</v>
      </c>
      <c r="N87" s="16" t="str">
        <f t="shared" si="83"/>
        <v>PWS Sablefish Net Gear</v>
      </c>
      <c r="O87" s="108" t="str">
        <f>IF(C87="-","-",VLOOKUP($B87,Table7data!$A:$F,5,FALSE))</f>
        <v>-</v>
      </c>
      <c r="P87" s="38" t="str">
        <f t="shared" si="84"/>
        <v>none</v>
      </c>
      <c r="Q87" s="16" t="str">
        <f t="shared" si="85"/>
        <v>-</v>
      </c>
      <c r="R87" s="16" t="str">
        <f t="shared" si="86"/>
        <v>PWS Sablefish Net Gear</v>
      </c>
      <c r="S87" s="108" t="str">
        <f>IF(C87="-","-",VLOOKUP($B87,Table7data!$A:$F,6,FALSE))</f>
        <v>-</v>
      </c>
      <c r="T87" s="38" t="str">
        <f t="shared" si="87"/>
        <v>none</v>
      </c>
      <c r="U87" s="16" t="str">
        <f t="shared" si="88"/>
        <v>-</v>
      </c>
      <c r="V87" s="16" t="str">
        <f t="shared" si="89"/>
        <v>PWS Sablefish Net Gear</v>
      </c>
    </row>
    <row r="88" spans="1:22" ht="15">
      <c r="A88" s="98" t="s">
        <v>319</v>
      </c>
      <c r="B88" s="98" t="s">
        <v>320</v>
      </c>
      <c r="C88" s="108" t="str">
        <f>IF(ISNA(VLOOKUP($B88,Table7data!$A:$F,2,FALSE)),"-",VLOOKUP($B88,Table7data!$A:$F,2,FALSE))</f>
        <v>-</v>
      </c>
      <c r="D88" s="38" t="str">
        <f t="shared" si="75"/>
        <v>none</v>
      </c>
      <c r="E88" s="16" t="str">
        <f t="shared" si="76"/>
        <v>-</v>
      </c>
      <c r="F88" s="16" t="str">
        <f t="shared" si="77"/>
        <v>PWS Sablefish Fixed 90ft</v>
      </c>
      <c r="G88" s="108" t="str">
        <f>IF(C88="-","-",VLOOKUP($B88,Table7data!$A:$F,3,FALSE))</f>
        <v>-</v>
      </c>
      <c r="H88" s="38" t="str">
        <f t="shared" si="78"/>
        <v>none</v>
      </c>
      <c r="I88" s="16" t="str">
        <f t="shared" si="79"/>
        <v>-</v>
      </c>
      <c r="J88" s="16" t="str">
        <f t="shared" si="80"/>
        <v>PWS Sablefish Fixed 90ft</v>
      </c>
      <c r="K88" s="108" t="str">
        <f>IF(C88="-","-",VLOOKUP($B88,Table7data!$A:$F,4,FALSE))</f>
        <v>-</v>
      </c>
      <c r="L88" s="38" t="str">
        <f t="shared" si="81"/>
        <v>none</v>
      </c>
      <c r="M88" s="16" t="str">
        <f t="shared" si="82"/>
        <v>-</v>
      </c>
      <c r="N88" s="16" t="str">
        <f t="shared" si="83"/>
        <v>PWS Sablefish Fixed 90ft</v>
      </c>
      <c r="O88" s="108" t="str">
        <f>IF(C88="-","-",VLOOKUP($B88,Table7data!$A:$F,5,FALSE))</f>
        <v>-</v>
      </c>
      <c r="P88" s="38" t="str">
        <f t="shared" si="84"/>
        <v>none</v>
      </c>
      <c r="Q88" s="16" t="str">
        <f t="shared" si="85"/>
        <v>-</v>
      </c>
      <c r="R88" s="16" t="str">
        <f t="shared" si="86"/>
        <v>PWS Sablefish Fixed 90ft</v>
      </c>
      <c r="S88" s="108" t="str">
        <f>IF(C88="-","-",VLOOKUP($B88,Table7data!$A:$F,6,FALSE))</f>
        <v>-</v>
      </c>
      <c r="T88" s="38" t="str">
        <f t="shared" si="87"/>
        <v>none</v>
      </c>
      <c r="U88" s="16" t="str">
        <f t="shared" si="88"/>
        <v>-</v>
      </c>
      <c r="V88" s="16" t="str">
        <f t="shared" si="89"/>
        <v>PWS Sablefish Fixed 90ft</v>
      </c>
    </row>
    <row r="89" spans="1:22" ht="15">
      <c r="A89" s="98" t="s">
        <v>321</v>
      </c>
      <c r="B89" s="98" t="s">
        <v>322</v>
      </c>
      <c r="C89" s="108" t="str">
        <f>IF(ISNA(VLOOKUP($B89,Table7data!$A:$F,2,FALSE)),"-",VLOOKUP($B89,Table7data!$A:$F,2,FALSE))</f>
        <v>-</v>
      </c>
      <c r="D89" s="38" t="str">
        <f t="shared" si="75"/>
        <v>none</v>
      </c>
      <c r="E89" s="16" t="str">
        <f t="shared" si="76"/>
        <v>-</v>
      </c>
      <c r="F89" s="16" t="str">
        <f t="shared" si="77"/>
        <v>PWS Sablefish Fixed 60ft</v>
      </c>
      <c r="G89" s="108" t="str">
        <f>IF(C89="-","-",VLOOKUP($B89,Table7data!$A:$F,3,FALSE))</f>
        <v>-</v>
      </c>
      <c r="H89" s="38" t="str">
        <f t="shared" si="78"/>
        <v>none</v>
      </c>
      <c r="I89" s="16" t="str">
        <f t="shared" si="79"/>
        <v>-</v>
      </c>
      <c r="J89" s="16" t="str">
        <f t="shared" si="80"/>
        <v>PWS Sablefish Fixed 60ft</v>
      </c>
      <c r="K89" s="108" t="str">
        <f>IF(C89="-","-",VLOOKUP($B89,Table7data!$A:$F,4,FALSE))</f>
        <v>-</v>
      </c>
      <c r="L89" s="38" t="str">
        <f t="shared" si="81"/>
        <v>none</v>
      </c>
      <c r="M89" s="16" t="str">
        <f t="shared" si="82"/>
        <v>-</v>
      </c>
      <c r="N89" s="16" t="str">
        <f t="shared" si="83"/>
        <v>PWS Sablefish Fixed 60ft</v>
      </c>
      <c r="O89" s="108" t="str">
        <f>IF(C89="-","-",VLOOKUP($B89,Table7data!$A:$F,5,FALSE))</f>
        <v>-</v>
      </c>
      <c r="P89" s="38" t="str">
        <f t="shared" si="84"/>
        <v>none</v>
      </c>
      <c r="Q89" s="16" t="str">
        <f t="shared" si="85"/>
        <v>-</v>
      </c>
      <c r="R89" s="16" t="str">
        <f t="shared" si="86"/>
        <v>PWS Sablefish Fixed 60ft</v>
      </c>
      <c r="S89" s="108" t="str">
        <f>IF(C89="-","-",VLOOKUP($B89,Table7data!$A:$F,6,FALSE))</f>
        <v>-</v>
      </c>
      <c r="T89" s="38" t="str">
        <f t="shared" si="87"/>
        <v>none</v>
      </c>
      <c r="U89" s="16" t="str">
        <f t="shared" si="88"/>
        <v>-</v>
      </c>
      <c r="V89" s="16" t="str">
        <f t="shared" si="89"/>
        <v>PWS Sablefish Fixed 60ft</v>
      </c>
    </row>
    <row r="90" spans="1:22" ht="15">
      <c r="A90" s="98" t="s">
        <v>323</v>
      </c>
      <c r="B90" s="24" t="s">
        <v>324</v>
      </c>
      <c r="C90" s="108">
        <f>IF(ISNA(VLOOKUP($B90,Table7data!$A:$F,2,FALSE)),"-",VLOOKUP($B90,Table7data!$A:$F,2,FALSE))</f>
        <v>1</v>
      </c>
      <c r="D90" s="38" t="str">
        <f t="shared" si="75"/>
        <v>increase</v>
      </c>
      <c r="E90" s="16">
        <f t="shared" si="76"/>
        <v>1</v>
      </c>
      <c r="F90" s="16" t="str">
        <f t="shared" si="77"/>
        <v>PWS Sablefish Fixed 50ft</v>
      </c>
      <c r="G90" s="108">
        <f>IF(C90="-","-",VLOOKUP($B90,Table7data!$A:$F,3,FALSE))</f>
        <v>-2</v>
      </c>
      <c r="H90" s="38" t="str">
        <f t="shared" si="78"/>
        <v>decrease</v>
      </c>
      <c r="I90" s="16">
        <f t="shared" si="79"/>
        <v>-2</v>
      </c>
      <c r="J90" s="16" t="str">
        <f t="shared" si="80"/>
        <v>PWS Sablefish Fixed 50ft</v>
      </c>
      <c r="K90" s="108">
        <f>IF(C90="-","-",VLOOKUP($B90,Table7data!$A:$F,4,FALSE))</f>
        <v>0</v>
      </c>
      <c r="L90" s="38" t="str">
        <f t="shared" si="81"/>
        <v>constant</v>
      </c>
      <c r="M90" s="16">
        <f t="shared" si="82"/>
        <v>0</v>
      </c>
      <c r="N90" s="16" t="str">
        <f t="shared" si="83"/>
        <v>PWS Sablefish Fixed 50ft</v>
      </c>
      <c r="O90" s="108">
        <f>IF(C90="-","-",VLOOKUP($B90,Table7data!$A:$F,5,FALSE))</f>
        <v>-1</v>
      </c>
      <c r="P90" s="38" t="str">
        <f t="shared" si="84"/>
        <v>decrease</v>
      </c>
      <c r="Q90" s="16">
        <f t="shared" si="85"/>
        <v>-1</v>
      </c>
      <c r="R90" s="16" t="str">
        <f t="shared" si="86"/>
        <v>PWS Sablefish Fixed 50ft</v>
      </c>
      <c r="S90" s="108">
        <f>IF(C90="-","-",VLOOKUP($B90,Table7data!$A:$F,6,FALSE))</f>
        <v>2</v>
      </c>
      <c r="T90" s="38" t="str">
        <f t="shared" si="87"/>
        <v>increase</v>
      </c>
      <c r="U90" s="16">
        <f t="shared" si="88"/>
        <v>2</v>
      </c>
      <c r="V90" s="16" t="str">
        <f t="shared" si="89"/>
        <v>PWS Sablefish Fixed 50ft</v>
      </c>
    </row>
    <row r="91" spans="1:22" ht="15">
      <c r="A91" s="98" t="s">
        <v>325</v>
      </c>
      <c r="B91" s="24" t="s">
        <v>326</v>
      </c>
      <c r="C91" s="109">
        <f>IF(ISNA(VLOOKUP($B91,Table7data!$A:$F,2,FALSE)),"-",VLOOKUP($B91,Table7data!$A:$F,2,FALSE))</f>
        <v>-1</v>
      </c>
      <c r="D91" s="38" t="str">
        <f t="shared" si="75"/>
        <v>decrease</v>
      </c>
      <c r="E91" s="16">
        <f t="shared" si="76"/>
        <v>-1</v>
      </c>
      <c r="F91" s="16" t="str">
        <f t="shared" si="77"/>
        <v>PWS Sablefish Fixed 35ft</v>
      </c>
      <c r="G91" s="109">
        <f>IF(C91="-","-",VLOOKUP($B91,Table7data!$A:$F,3,FALSE))</f>
        <v>2</v>
      </c>
      <c r="H91" s="38" t="str">
        <f t="shared" si="78"/>
        <v>increase</v>
      </c>
      <c r="I91" s="16">
        <f t="shared" si="79"/>
        <v>2</v>
      </c>
      <c r="J91" s="16" t="str">
        <f t="shared" si="80"/>
        <v>PWS Sablefish Fixed 35ft</v>
      </c>
      <c r="K91" s="109">
        <f>IF(C91="-","-",VLOOKUP($B91,Table7data!$A:$F,4,FALSE))</f>
        <v>0</v>
      </c>
      <c r="L91" s="38" t="str">
        <f t="shared" si="81"/>
        <v>constant</v>
      </c>
      <c r="M91" s="16">
        <f t="shared" si="82"/>
        <v>0</v>
      </c>
      <c r="N91" s="16" t="str">
        <f t="shared" si="83"/>
        <v>PWS Sablefish Fixed 35ft</v>
      </c>
      <c r="O91" s="109">
        <f>IF(C91="-","-",VLOOKUP($B91,Table7data!$A:$F,5,FALSE))</f>
        <v>0</v>
      </c>
      <c r="P91" s="38" t="str">
        <f t="shared" si="84"/>
        <v>constant</v>
      </c>
      <c r="Q91" s="16">
        <f t="shared" si="85"/>
        <v>0</v>
      </c>
      <c r="R91" s="16" t="str">
        <f t="shared" si="86"/>
        <v>PWS Sablefish Fixed 35ft</v>
      </c>
      <c r="S91" s="109">
        <f>IF(C91="-","-",VLOOKUP($B91,Table7data!$A:$F,6,FALSE))</f>
        <v>-1</v>
      </c>
      <c r="T91" s="38" t="str">
        <f t="shared" si="87"/>
        <v>decrease</v>
      </c>
      <c r="U91" s="16">
        <f t="shared" si="88"/>
        <v>-1</v>
      </c>
      <c r="V91" s="16" t="str">
        <f t="shared" si="89"/>
        <v>PWS Sablefish Fixed 35ft</v>
      </c>
    </row>
    <row r="92" spans="2:22" s="58" customFormat="1" ht="15">
      <c r="B92" s="29"/>
      <c r="C92" s="110">
        <f>SUM(C82:C91)</f>
        <v>-15</v>
      </c>
      <c r="D92" s="110"/>
      <c r="E92" s="110"/>
      <c r="F92" s="110"/>
      <c r="G92" s="110">
        <f>SUM(G82:G91)</f>
        <v>-1</v>
      </c>
      <c r="H92" s="110"/>
      <c r="I92" s="110"/>
      <c r="J92" s="110"/>
      <c r="K92" s="110">
        <f>SUM(K82:K91)</f>
        <v>-17</v>
      </c>
      <c r="L92" s="110"/>
      <c r="M92" s="110"/>
      <c r="N92" s="110"/>
      <c r="O92" s="110">
        <f>SUM(O82:O91)</f>
        <v>2</v>
      </c>
      <c r="P92" s="110"/>
      <c r="Q92" s="110"/>
      <c r="R92" s="110"/>
      <c r="S92" s="110">
        <f>SUM(S82:S91)</f>
        <v>31</v>
      </c>
      <c r="T92" s="110"/>
      <c r="U92" s="110"/>
      <c r="V92" s="110"/>
    </row>
    <row r="94" spans="1:2" ht="15">
      <c r="A94" s="54" t="s">
        <v>402</v>
      </c>
      <c r="B94" s="24"/>
    </row>
    <row r="95" spans="1:22" ht="15">
      <c r="A95" s="98" t="s">
        <v>328</v>
      </c>
      <c r="B95" s="24" t="s">
        <v>329</v>
      </c>
      <c r="C95" s="108">
        <f>IF(ISNA(VLOOKUP($B95,Table7data!$A:$F,2,FALSE)),"-",VLOOKUP($B95,Table7data!$A:$F,2,FALSE))</f>
        <v>-3</v>
      </c>
      <c r="D95" s="38" t="str">
        <f aca="true" t="shared" si="90" ref="D95:D102">IF(C95="-","none",IF(C95&lt;0,"decrease",IF(C95=0,"constant","increase")))</f>
        <v>decrease</v>
      </c>
      <c r="E95" s="16">
        <f aca="true" t="shared" si="91" ref="E95:E102">C95</f>
        <v>-3</v>
      </c>
      <c r="F95" s="16" t="str">
        <f aca="true" t="shared" si="92" ref="F95:F102">A95</f>
        <v>SE Urchin Dive</v>
      </c>
      <c r="G95" s="108">
        <f>IF(C95="-","-",VLOOKUP($B95,Table7data!$A:$F,3,FALSE))</f>
        <v>0</v>
      </c>
      <c r="H95" s="38" t="str">
        <f aca="true" t="shared" si="93" ref="H95:H102">IF(G95="-","none",IF(G95&lt;0,"decrease",IF(G95=0,"constant","increase")))</f>
        <v>constant</v>
      </c>
      <c r="I95" s="16">
        <f aca="true" t="shared" si="94" ref="I95:I102">G95</f>
        <v>0</v>
      </c>
      <c r="J95" s="16" t="str">
        <f aca="true" t="shared" si="95" ref="J95:J102">F95</f>
        <v>SE Urchin Dive</v>
      </c>
      <c r="K95" s="108">
        <f>IF(C95="-","-",VLOOKUP($B95,Table7data!$A:$F,4,FALSE))</f>
        <v>4</v>
      </c>
      <c r="L95" s="38" t="str">
        <f aca="true" t="shared" si="96" ref="L95:L102">IF(K95="-","none",IF(K95&lt;0,"decrease",IF(K95=0,"constant","increase")))</f>
        <v>increase</v>
      </c>
      <c r="M95" s="16">
        <f aca="true" t="shared" si="97" ref="M95:M102">K95</f>
        <v>4</v>
      </c>
      <c r="N95" s="16" t="str">
        <f aca="true" t="shared" si="98" ref="N95:N102">J95</f>
        <v>SE Urchin Dive</v>
      </c>
      <c r="O95" s="108">
        <f>IF(C95="-","-",VLOOKUP($B95,Table7data!$A:$F,5,FALSE))</f>
        <v>2</v>
      </c>
      <c r="P95" s="38" t="str">
        <f aca="true" t="shared" si="99" ref="P95:P102">IF(O95="-","none",IF(O95&lt;0,"decrease",IF(O95=0,"constant","increase")))</f>
        <v>increase</v>
      </c>
      <c r="Q95" s="16">
        <f aca="true" t="shared" si="100" ref="Q95:Q102">O95</f>
        <v>2</v>
      </c>
      <c r="R95" s="16" t="str">
        <f aca="true" t="shared" si="101" ref="R95:R102">N95</f>
        <v>SE Urchin Dive</v>
      </c>
      <c r="S95" s="108">
        <f>IF(C95="-","-",VLOOKUP($B95,Table7data!$A:$F,6,FALSE))</f>
        <v>-3</v>
      </c>
      <c r="T95" s="38" t="str">
        <f aca="true" t="shared" si="102" ref="T95:T102">IF(S95="-","none",IF(S95&lt;0,"decrease",IF(S95=0,"constant","increase")))</f>
        <v>decrease</v>
      </c>
      <c r="U95" s="16">
        <f aca="true" t="shared" si="103" ref="U95:U102">S95</f>
        <v>-3</v>
      </c>
      <c r="V95" s="16" t="str">
        <f aca="true" t="shared" si="104" ref="V95:V102">R95</f>
        <v>SE Urchin Dive</v>
      </c>
    </row>
    <row r="96" spans="1:22" ht="15">
      <c r="A96" s="98" t="s">
        <v>330</v>
      </c>
      <c r="B96" s="24" t="s">
        <v>331</v>
      </c>
      <c r="C96" s="108">
        <f>IF(ISNA(VLOOKUP($B96,Table7data!$A:$F,2,FALSE)),"-",VLOOKUP($B96,Table7data!$A:$F,2,FALSE))</f>
        <v>-1</v>
      </c>
      <c r="D96" s="38" t="str">
        <f t="shared" si="90"/>
        <v>decrease</v>
      </c>
      <c r="E96" s="16">
        <f t="shared" si="91"/>
        <v>-1</v>
      </c>
      <c r="F96" s="16" t="str">
        <f t="shared" si="92"/>
        <v>SE Geoduck Dive</v>
      </c>
      <c r="G96" s="108">
        <f>IF(C96="-","-",VLOOKUP($B96,Table7data!$A:$F,3,FALSE))</f>
        <v>1</v>
      </c>
      <c r="H96" s="38" t="str">
        <f t="shared" si="93"/>
        <v>increase</v>
      </c>
      <c r="I96" s="16">
        <f t="shared" si="94"/>
        <v>1</v>
      </c>
      <c r="J96" s="16" t="str">
        <f t="shared" si="95"/>
        <v>SE Geoduck Dive</v>
      </c>
      <c r="K96" s="108">
        <f>IF(C96="-","-",VLOOKUP($B96,Table7data!$A:$F,4,FALSE))</f>
        <v>0</v>
      </c>
      <c r="L96" s="38" t="str">
        <f t="shared" si="96"/>
        <v>constant</v>
      </c>
      <c r="M96" s="16">
        <f t="shared" si="97"/>
        <v>0</v>
      </c>
      <c r="N96" s="16" t="str">
        <f t="shared" si="98"/>
        <v>SE Geoduck Dive</v>
      </c>
      <c r="O96" s="108">
        <f>IF(C96="-","-",VLOOKUP($B96,Table7data!$A:$F,5,FALSE))</f>
        <v>-2</v>
      </c>
      <c r="P96" s="38" t="str">
        <f t="shared" si="99"/>
        <v>decrease</v>
      </c>
      <c r="Q96" s="16">
        <f t="shared" si="100"/>
        <v>-2</v>
      </c>
      <c r="R96" s="16" t="str">
        <f t="shared" si="101"/>
        <v>SE Geoduck Dive</v>
      </c>
      <c r="S96" s="108">
        <f>IF(C96="-","-",VLOOKUP($B96,Table7data!$A:$F,6,FALSE))</f>
        <v>2</v>
      </c>
      <c r="T96" s="38" t="str">
        <f t="shared" si="102"/>
        <v>increase</v>
      </c>
      <c r="U96" s="16">
        <f t="shared" si="103"/>
        <v>2</v>
      </c>
      <c r="V96" s="16" t="str">
        <f t="shared" si="104"/>
        <v>SE Geoduck Dive</v>
      </c>
    </row>
    <row r="97" spans="1:22" ht="15">
      <c r="A97" s="98" t="s">
        <v>332</v>
      </c>
      <c r="B97" s="24" t="s">
        <v>333</v>
      </c>
      <c r="C97" s="108">
        <f>IF(ISNA(VLOOKUP($B97,Table7data!$A:$F,2,FALSE)),"-",VLOOKUP($B97,Table7data!$A:$F,2,FALSE))</f>
        <v>-7</v>
      </c>
      <c r="D97" s="38" t="str">
        <f t="shared" si="90"/>
        <v>decrease</v>
      </c>
      <c r="E97" s="16">
        <f t="shared" si="91"/>
        <v>-7</v>
      </c>
      <c r="F97" s="16" t="str">
        <f t="shared" si="92"/>
        <v>SE Cucumber Dive</v>
      </c>
      <c r="G97" s="108">
        <f>IF(C97="-","-",VLOOKUP($B97,Table7data!$A:$F,3,FALSE))</f>
        <v>1</v>
      </c>
      <c r="H97" s="38" t="str">
        <f t="shared" si="93"/>
        <v>increase</v>
      </c>
      <c r="I97" s="16">
        <f t="shared" si="94"/>
        <v>1</v>
      </c>
      <c r="J97" s="16" t="str">
        <f t="shared" si="95"/>
        <v>SE Cucumber Dive</v>
      </c>
      <c r="K97" s="108">
        <f>IF(C97="-","-",VLOOKUP($B97,Table7data!$A:$F,4,FALSE))</f>
        <v>-15</v>
      </c>
      <c r="L97" s="38" t="str">
        <f t="shared" si="96"/>
        <v>decrease</v>
      </c>
      <c r="M97" s="16">
        <f t="shared" si="97"/>
        <v>-15</v>
      </c>
      <c r="N97" s="16" t="str">
        <f t="shared" si="98"/>
        <v>SE Cucumber Dive</v>
      </c>
      <c r="O97" s="108">
        <f>IF(C97="-","-",VLOOKUP($B97,Table7data!$A:$F,5,FALSE))</f>
        <v>5</v>
      </c>
      <c r="P97" s="38" t="str">
        <f t="shared" si="99"/>
        <v>increase</v>
      </c>
      <c r="Q97" s="16">
        <f t="shared" si="100"/>
        <v>5</v>
      </c>
      <c r="R97" s="16" t="str">
        <f t="shared" si="101"/>
        <v>SE Cucumber Dive</v>
      </c>
      <c r="S97" s="108">
        <f>IF(C97="-","-",VLOOKUP($B97,Table7data!$A:$F,6,FALSE))</f>
        <v>16</v>
      </c>
      <c r="T97" s="38" t="str">
        <f t="shared" si="102"/>
        <v>increase</v>
      </c>
      <c r="U97" s="16">
        <f t="shared" si="103"/>
        <v>16</v>
      </c>
      <c r="V97" s="16" t="str">
        <f t="shared" si="104"/>
        <v>SE Cucumber Dive</v>
      </c>
    </row>
    <row r="98" spans="1:22" ht="15">
      <c r="A98" s="98" t="s">
        <v>334</v>
      </c>
      <c r="B98" s="24" t="s">
        <v>335</v>
      </c>
      <c r="C98" s="108">
        <f>IF(ISNA(VLOOKUP($B98,Table7data!$A:$F,2,FALSE)),"-",VLOOKUP($B98,Table7data!$A:$F,2,FALSE))</f>
        <v>-1</v>
      </c>
      <c r="D98" s="38" t="str">
        <f t="shared" si="90"/>
        <v>decrease</v>
      </c>
      <c r="E98" s="16">
        <f t="shared" si="91"/>
        <v>-1</v>
      </c>
      <c r="F98" s="16" t="str">
        <f t="shared" si="92"/>
        <v>Goodnews Bay Her Gillnet</v>
      </c>
      <c r="G98" s="108">
        <f>IF(C98="-","-",VLOOKUP($B98,Table7data!$A:$F,3,FALSE))</f>
        <v>-9</v>
      </c>
      <c r="H98" s="38" t="str">
        <f t="shared" si="93"/>
        <v>decrease</v>
      </c>
      <c r="I98" s="16">
        <f t="shared" si="94"/>
        <v>-9</v>
      </c>
      <c r="J98" s="16" t="str">
        <f t="shared" si="95"/>
        <v>Goodnews Bay Her Gillnet</v>
      </c>
      <c r="K98" s="108">
        <f>IF(C98="-","-",VLOOKUP($B98,Table7data!$A:$F,4,FALSE))</f>
        <v>0</v>
      </c>
      <c r="L98" s="38" t="str">
        <f t="shared" si="96"/>
        <v>constant</v>
      </c>
      <c r="M98" s="16">
        <f t="shared" si="97"/>
        <v>0</v>
      </c>
      <c r="N98" s="16" t="str">
        <f t="shared" si="98"/>
        <v>Goodnews Bay Her Gillnet</v>
      </c>
      <c r="O98" s="108">
        <f>IF(C98="-","-",VLOOKUP($B98,Table7data!$A:$F,5,FALSE))</f>
        <v>10</v>
      </c>
      <c r="P98" s="38" t="str">
        <f t="shared" si="99"/>
        <v>increase</v>
      </c>
      <c r="Q98" s="16">
        <f t="shared" si="100"/>
        <v>10</v>
      </c>
      <c r="R98" s="16" t="str">
        <f t="shared" si="101"/>
        <v>Goodnews Bay Her Gillnet</v>
      </c>
      <c r="S98" s="108">
        <f>IF(C98="-","-",VLOOKUP($B98,Table7data!$A:$F,6,FALSE))</f>
        <v>0</v>
      </c>
      <c r="T98" s="38" t="str">
        <f t="shared" si="102"/>
        <v>constant</v>
      </c>
      <c r="U98" s="16">
        <f t="shared" si="103"/>
        <v>0</v>
      </c>
      <c r="V98" s="16" t="str">
        <f t="shared" si="104"/>
        <v>Goodnews Bay Her Gillnet</v>
      </c>
    </row>
    <row r="99" spans="1:22" ht="15">
      <c r="A99" s="98" t="s">
        <v>336</v>
      </c>
      <c r="B99" s="98" t="s">
        <v>337</v>
      </c>
      <c r="C99" s="108" t="str">
        <f>IF(ISNA(VLOOKUP($B99,Table7data!$A:$F,2,FALSE)),"-",VLOOKUP($B99,Table7data!$A:$F,2,FALSE))</f>
        <v>-</v>
      </c>
      <c r="D99" s="38" t="str">
        <f t="shared" si="90"/>
        <v>none</v>
      </c>
      <c r="E99" s="16" t="str">
        <f t="shared" si="91"/>
        <v>-</v>
      </c>
      <c r="F99" s="16" t="str">
        <f t="shared" si="92"/>
        <v>Kodiak Fd/Bt Her Seine/Gill</v>
      </c>
      <c r="G99" s="108" t="str">
        <f>IF(C99="-","-",VLOOKUP($B99,Table7data!$A:$F,3,FALSE))</f>
        <v>-</v>
      </c>
      <c r="H99" s="38" t="str">
        <f t="shared" si="93"/>
        <v>none</v>
      </c>
      <c r="I99" s="16" t="str">
        <f t="shared" si="94"/>
        <v>-</v>
      </c>
      <c r="J99" s="16" t="str">
        <f t="shared" si="95"/>
        <v>Kodiak Fd/Bt Her Seine/Gill</v>
      </c>
      <c r="K99" s="108" t="str">
        <f>IF(C99="-","-",VLOOKUP($B99,Table7data!$A:$F,4,FALSE))</f>
        <v>-</v>
      </c>
      <c r="L99" s="38" t="str">
        <f t="shared" si="96"/>
        <v>none</v>
      </c>
      <c r="M99" s="16" t="str">
        <f t="shared" si="97"/>
        <v>-</v>
      </c>
      <c r="N99" s="16" t="str">
        <f t="shared" si="98"/>
        <v>Kodiak Fd/Bt Her Seine/Gill</v>
      </c>
      <c r="O99" s="108" t="str">
        <f>IF(C99="-","-",VLOOKUP($B99,Table7data!$A:$F,5,FALSE))</f>
        <v>-</v>
      </c>
      <c r="P99" s="38" t="str">
        <f t="shared" si="99"/>
        <v>none</v>
      </c>
      <c r="Q99" s="16" t="str">
        <f t="shared" si="100"/>
        <v>-</v>
      </c>
      <c r="R99" s="16" t="str">
        <f t="shared" si="101"/>
        <v>Kodiak Fd/Bt Her Seine/Gill</v>
      </c>
      <c r="S99" s="108" t="str">
        <f>IF(C99="-","-",VLOOKUP($B99,Table7data!$A:$F,6,FALSE))</f>
        <v>-</v>
      </c>
      <c r="T99" s="38" t="str">
        <f t="shared" si="102"/>
        <v>none</v>
      </c>
      <c r="U99" s="16" t="str">
        <f t="shared" si="103"/>
        <v>-</v>
      </c>
      <c r="V99" s="16" t="str">
        <f t="shared" si="104"/>
        <v>Kodiak Fd/Bt Her Seine/Gill</v>
      </c>
    </row>
    <row r="100" spans="1:22" ht="15">
      <c r="A100" s="98" t="s">
        <v>338</v>
      </c>
      <c r="B100" s="98" t="s">
        <v>339</v>
      </c>
      <c r="C100" s="108" t="str">
        <f>IF(ISNA(VLOOKUP($B100,Table7data!$A:$F,2,FALSE)),"-",VLOOKUP($B100,Table7data!$A:$F,2,FALSE))</f>
        <v>-</v>
      </c>
      <c r="D100" s="38" t="str">
        <f t="shared" si="90"/>
        <v>none</v>
      </c>
      <c r="E100" s="16" t="str">
        <f t="shared" si="91"/>
        <v>-</v>
      </c>
      <c r="F100" s="16" t="str">
        <f t="shared" si="92"/>
        <v>Kodiak Fd/Bt Her Trawl 75ft</v>
      </c>
      <c r="G100" s="108" t="str">
        <f>IF(C100="-","-",VLOOKUP($B100,Table7data!$A:$F,3,FALSE))</f>
        <v>-</v>
      </c>
      <c r="H100" s="38" t="str">
        <f t="shared" si="93"/>
        <v>none</v>
      </c>
      <c r="I100" s="16" t="str">
        <f t="shared" si="94"/>
        <v>-</v>
      </c>
      <c r="J100" s="16" t="str">
        <f t="shared" si="95"/>
        <v>Kodiak Fd/Bt Her Trawl 75ft</v>
      </c>
      <c r="K100" s="108" t="str">
        <f>IF(C100="-","-",VLOOKUP($B100,Table7data!$A:$F,4,FALSE))</f>
        <v>-</v>
      </c>
      <c r="L100" s="38" t="str">
        <f t="shared" si="96"/>
        <v>none</v>
      </c>
      <c r="M100" s="16" t="str">
        <f t="shared" si="97"/>
        <v>-</v>
      </c>
      <c r="N100" s="16" t="str">
        <f t="shared" si="98"/>
        <v>Kodiak Fd/Bt Her Trawl 75ft</v>
      </c>
      <c r="O100" s="108" t="str">
        <f>IF(C100="-","-",VLOOKUP($B100,Table7data!$A:$F,5,FALSE))</f>
        <v>-</v>
      </c>
      <c r="P100" s="38" t="str">
        <f t="shared" si="99"/>
        <v>none</v>
      </c>
      <c r="Q100" s="16" t="str">
        <f t="shared" si="100"/>
        <v>-</v>
      </c>
      <c r="R100" s="16" t="str">
        <f t="shared" si="101"/>
        <v>Kodiak Fd/Bt Her Trawl 75ft</v>
      </c>
      <c r="S100" s="108" t="str">
        <f>IF(C100="-","-",VLOOKUP($B100,Table7data!$A:$F,6,FALSE))</f>
        <v>-</v>
      </c>
      <c r="T100" s="38" t="str">
        <f t="shared" si="102"/>
        <v>none</v>
      </c>
      <c r="U100" s="16" t="str">
        <f t="shared" si="103"/>
        <v>-</v>
      </c>
      <c r="V100" s="16" t="str">
        <f t="shared" si="104"/>
        <v>Kodiak Fd/Bt Her Trawl 75ft</v>
      </c>
    </row>
    <row r="101" spans="1:22" ht="15">
      <c r="A101" s="98" t="s">
        <v>340</v>
      </c>
      <c r="B101" s="98" t="s">
        <v>341</v>
      </c>
      <c r="C101" s="108" t="str">
        <f>IF(ISNA(VLOOKUP($B101,Table7data!$A:$F,2,FALSE)),"-",VLOOKUP($B101,Table7data!$A:$F,2,FALSE))</f>
        <v>-</v>
      </c>
      <c r="D101" s="38" t="str">
        <f t="shared" si="90"/>
        <v>none</v>
      </c>
      <c r="E101" s="16" t="str">
        <f t="shared" si="91"/>
        <v>-</v>
      </c>
      <c r="F101" s="16" t="str">
        <f t="shared" si="92"/>
        <v>Kodiak Fd/Bt Her Trawl 70ft</v>
      </c>
      <c r="G101" s="108" t="str">
        <f>IF(C101="-","-",VLOOKUP($B101,Table7data!$A:$F,3,FALSE))</f>
        <v>-</v>
      </c>
      <c r="H101" s="38" t="str">
        <f t="shared" si="93"/>
        <v>none</v>
      </c>
      <c r="I101" s="16" t="str">
        <f t="shared" si="94"/>
        <v>-</v>
      </c>
      <c r="J101" s="16" t="str">
        <f t="shared" si="95"/>
        <v>Kodiak Fd/Bt Her Trawl 70ft</v>
      </c>
      <c r="K101" s="108" t="str">
        <f>IF(C101="-","-",VLOOKUP($B101,Table7data!$A:$F,4,FALSE))</f>
        <v>-</v>
      </c>
      <c r="L101" s="38" t="str">
        <f t="shared" si="96"/>
        <v>none</v>
      </c>
      <c r="M101" s="16" t="str">
        <f t="shared" si="97"/>
        <v>-</v>
      </c>
      <c r="N101" s="16" t="str">
        <f t="shared" si="98"/>
        <v>Kodiak Fd/Bt Her Trawl 70ft</v>
      </c>
      <c r="O101" s="108" t="str">
        <f>IF(C101="-","-",VLOOKUP($B101,Table7data!$A:$F,5,FALSE))</f>
        <v>-</v>
      </c>
      <c r="P101" s="38" t="str">
        <f t="shared" si="99"/>
        <v>none</v>
      </c>
      <c r="Q101" s="16" t="str">
        <f t="shared" si="100"/>
        <v>-</v>
      </c>
      <c r="R101" s="16" t="str">
        <f t="shared" si="101"/>
        <v>Kodiak Fd/Bt Her Trawl 70ft</v>
      </c>
      <c r="S101" s="108" t="str">
        <f>IF(C101="-","-",VLOOKUP($B101,Table7data!$A:$F,6,FALSE))</f>
        <v>-</v>
      </c>
      <c r="T101" s="38" t="str">
        <f t="shared" si="102"/>
        <v>none</v>
      </c>
      <c r="U101" s="16" t="str">
        <f t="shared" si="103"/>
        <v>-</v>
      </c>
      <c r="V101" s="16" t="str">
        <f t="shared" si="104"/>
        <v>Kodiak Fd/Bt Her Trawl 70ft</v>
      </c>
    </row>
    <row r="102" spans="1:22" ht="15">
      <c r="A102" s="98" t="s">
        <v>342</v>
      </c>
      <c r="B102" s="98" t="s">
        <v>343</v>
      </c>
      <c r="C102" s="109" t="str">
        <f>IF(ISNA(VLOOKUP($B102,Table7data!$A:$F,2,FALSE)),"-",VLOOKUP($B102,Table7data!$A:$F,2,FALSE))</f>
        <v>-</v>
      </c>
      <c r="D102" s="38" t="str">
        <f t="shared" si="90"/>
        <v>none</v>
      </c>
      <c r="E102" s="16" t="str">
        <f t="shared" si="91"/>
        <v>-</v>
      </c>
      <c r="F102" s="16" t="str">
        <f t="shared" si="92"/>
        <v>Kodiak Fd/Bt Her Trawl 60ft</v>
      </c>
      <c r="G102" s="109" t="str">
        <f>IF(C102="-","-",VLOOKUP($B102,Table7data!$A:$F,3,FALSE))</f>
        <v>-</v>
      </c>
      <c r="H102" s="38" t="str">
        <f t="shared" si="93"/>
        <v>none</v>
      </c>
      <c r="I102" s="16" t="str">
        <f t="shared" si="94"/>
        <v>-</v>
      </c>
      <c r="J102" s="16" t="str">
        <f t="shared" si="95"/>
        <v>Kodiak Fd/Bt Her Trawl 60ft</v>
      </c>
      <c r="K102" s="109" t="str">
        <f>IF(C102="-","-",VLOOKUP($B102,Table7data!$A:$F,4,FALSE))</f>
        <v>-</v>
      </c>
      <c r="L102" s="38" t="str">
        <f t="shared" si="96"/>
        <v>none</v>
      </c>
      <c r="M102" s="16" t="str">
        <f t="shared" si="97"/>
        <v>-</v>
      </c>
      <c r="N102" s="16" t="str">
        <f t="shared" si="98"/>
        <v>Kodiak Fd/Bt Her Trawl 60ft</v>
      </c>
      <c r="O102" s="109" t="str">
        <f>IF(C102="-","-",VLOOKUP($B102,Table7data!$A:$F,5,FALSE))</f>
        <v>-</v>
      </c>
      <c r="P102" s="38" t="str">
        <f t="shared" si="99"/>
        <v>none</v>
      </c>
      <c r="Q102" s="16" t="str">
        <f t="shared" si="100"/>
        <v>-</v>
      </c>
      <c r="R102" s="16" t="str">
        <f t="shared" si="101"/>
        <v>Kodiak Fd/Bt Her Trawl 60ft</v>
      </c>
      <c r="S102" s="109" t="str">
        <f>IF(C102="-","-",VLOOKUP($B102,Table7data!$A:$F,6,FALSE))</f>
        <v>-</v>
      </c>
      <c r="T102" s="38" t="str">
        <f t="shared" si="102"/>
        <v>none</v>
      </c>
      <c r="U102" s="16" t="str">
        <f t="shared" si="103"/>
        <v>-</v>
      </c>
      <c r="V102" s="16" t="str">
        <f t="shared" si="104"/>
        <v>Kodiak Fd/Bt Her Trawl 60ft</v>
      </c>
    </row>
    <row r="103" spans="2:22" s="58" customFormat="1" ht="15">
      <c r="B103" s="29"/>
      <c r="C103" s="110">
        <f>SUM(C95:C102)</f>
        <v>-12</v>
      </c>
      <c r="D103" s="110"/>
      <c r="E103" s="110"/>
      <c r="F103" s="110"/>
      <c r="G103" s="110">
        <f>SUM(G95:G102)</f>
        <v>-7</v>
      </c>
      <c r="H103" s="110"/>
      <c r="I103" s="110"/>
      <c r="J103" s="110"/>
      <c r="K103" s="110">
        <f>SUM(K95:K102)</f>
        <v>-11</v>
      </c>
      <c r="L103" s="110"/>
      <c r="M103" s="110"/>
      <c r="N103" s="110"/>
      <c r="O103" s="110">
        <f>SUM(O95:O102)</f>
        <v>15</v>
      </c>
      <c r="P103" s="110"/>
      <c r="Q103" s="110"/>
      <c r="R103" s="110"/>
      <c r="S103" s="110">
        <f>SUM(S95:S102)</f>
        <v>15</v>
      </c>
      <c r="T103" s="110"/>
      <c r="U103" s="110"/>
      <c r="V103" s="110"/>
    </row>
    <row r="105" ht="15">
      <c r="A105" s="54" t="s">
        <v>443</v>
      </c>
    </row>
    <row r="106" spans="1:22" ht="15">
      <c r="A106" s="98" t="s">
        <v>344</v>
      </c>
      <c r="B106" s="24" t="s">
        <v>345</v>
      </c>
      <c r="C106" s="108">
        <f>IF(ISNA(VLOOKUP($B106,Table7data!$A:$F,2,FALSE)),"-",VLOOKUP($B106,Table7data!$A:$F,2,FALSE))</f>
        <v>0</v>
      </c>
      <c r="D106" s="38" t="str">
        <f>IF(C106="-","none",IF(C106&lt;0,"decrease",IF(C106=0,"constant","increase")))</f>
        <v>constant</v>
      </c>
      <c r="E106" s="16">
        <f>C106</f>
        <v>0</v>
      </c>
      <c r="F106" s="16" t="str">
        <f>A106</f>
        <v>Kodiak Tnr Bairdi Pot 120ft</v>
      </c>
      <c r="G106" s="108">
        <f>IF(C106="-","-",VLOOKUP($B106,Table7data!$A:$F,3,FALSE))</f>
        <v>0</v>
      </c>
      <c r="H106" s="38" t="str">
        <f>IF(G106="-","none",IF(G106&lt;0,"decrease",IF(G106=0,"constant","increase")))</f>
        <v>constant</v>
      </c>
      <c r="I106" s="16">
        <f>G106</f>
        <v>0</v>
      </c>
      <c r="J106" s="16" t="str">
        <f>F106</f>
        <v>Kodiak Tnr Bairdi Pot 120ft</v>
      </c>
      <c r="K106" s="108">
        <f>IF(C106="-","-",VLOOKUP($B106,Table7data!$A:$F,4,FALSE))</f>
        <v>-2</v>
      </c>
      <c r="L106" s="38" t="str">
        <f>IF(K106="-","none",IF(K106&lt;0,"decrease",IF(K106=0,"constant","increase")))</f>
        <v>decrease</v>
      </c>
      <c r="M106" s="16">
        <f>K106</f>
        <v>-2</v>
      </c>
      <c r="N106" s="16" t="str">
        <f>J106</f>
        <v>Kodiak Tnr Bairdi Pot 120ft</v>
      </c>
      <c r="O106" s="108">
        <f>IF(C106="-","-",VLOOKUP($B106,Table7data!$A:$F,5,FALSE))</f>
        <v>1</v>
      </c>
      <c r="P106" s="38" t="str">
        <f>IF(O106="-","none",IF(O106&lt;0,"decrease",IF(O106=0,"constant","increase")))</f>
        <v>increase</v>
      </c>
      <c r="Q106" s="16">
        <f>O106</f>
        <v>1</v>
      </c>
      <c r="R106" s="16" t="str">
        <f>N106</f>
        <v>Kodiak Tnr Bairdi Pot 120ft</v>
      </c>
      <c r="S106" s="108">
        <f>IF(C106="-","-",VLOOKUP($B106,Table7data!$A:$F,6,FALSE))</f>
        <v>1</v>
      </c>
      <c r="T106" s="38" t="str">
        <f>IF(S106="-","none",IF(S106&lt;0,"decrease",IF(S106=0,"constant","increase")))</f>
        <v>increase</v>
      </c>
      <c r="U106" s="16">
        <f>S106</f>
        <v>1</v>
      </c>
      <c r="V106" s="16" t="str">
        <f>R106</f>
        <v>Kodiak Tnr Bairdi Pot 120ft</v>
      </c>
    </row>
    <row r="107" spans="1:22" ht="15">
      <c r="A107" s="98" t="s">
        <v>346</v>
      </c>
      <c r="B107" s="24" t="s">
        <v>347</v>
      </c>
      <c r="C107" s="109">
        <f>IF(ISNA(VLOOKUP($B107,Table7data!$A:$F,2,FALSE)),"-",VLOOKUP($B107,Table7data!$A:$F,2,FALSE))</f>
        <v>0</v>
      </c>
      <c r="D107" s="38" t="str">
        <f>IF(C107="-","none",IF(C107&lt;0,"decrease",IF(C107=0,"constant","increase")))</f>
        <v>constant</v>
      </c>
      <c r="E107" s="16">
        <f>C107</f>
        <v>0</v>
      </c>
      <c r="F107" s="16" t="str">
        <f>A107</f>
        <v>Kodiak Tnr Bairdi Pot 60ft</v>
      </c>
      <c r="G107" s="109">
        <f>IF(C107="-","-",VLOOKUP($B107,Table7data!$A:$F,3,FALSE))</f>
        <v>2</v>
      </c>
      <c r="H107" s="38" t="str">
        <f>IF(G107="-","none",IF(G107&lt;0,"decrease",IF(G107=0,"constant","increase")))</f>
        <v>increase</v>
      </c>
      <c r="I107" s="16">
        <f>G107</f>
        <v>2</v>
      </c>
      <c r="J107" s="16" t="str">
        <f>F107</f>
        <v>Kodiak Tnr Bairdi Pot 60ft</v>
      </c>
      <c r="K107" s="109">
        <f>IF(C107="-","-",VLOOKUP($B107,Table7data!$A:$F,4,FALSE))</f>
        <v>-2</v>
      </c>
      <c r="L107" s="38" t="str">
        <f>IF(K107="-","none",IF(K107&lt;0,"decrease",IF(K107=0,"constant","increase")))</f>
        <v>decrease</v>
      </c>
      <c r="M107" s="16">
        <f>K107</f>
        <v>-2</v>
      </c>
      <c r="N107" s="16" t="str">
        <f>J107</f>
        <v>Kodiak Tnr Bairdi Pot 60ft</v>
      </c>
      <c r="O107" s="109">
        <f>IF(C107="-","-",VLOOKUP($B107,Table7data!$A:$F,5,FALSE))</f>
        <v>2</v>
      </c>
      <c r="P107" s="38" t="str">
        <f>IF(O107="-","none",IF(O107&lt;0,"decrease",IF(O107=0,"constant","increase")))</f>
        <v>increase</v>
      </c>
      <c r="Q107" s="16">
        <f>O107</f>
        <v>2</v>
      </c>
      <c r="R107" s="16" t="str">
        <f>N107</f>
        <v>Kodiak Tnr Bairdi Pot 60ft</v>
      </c>
      <c r="S107" s="109">
        <f>IF(C107="-","-",VLOOKUP($B107,Table7data!$A:$F,6,FALSE))</f>
        <v>-2</v>
      </c>
      <c r="T107" s="38" t="str">
        <f>IF(S107="-","none",IF(S107&lt;0,"decrease",IF(S107=0,"constant","increase")))</f>
        <v>decrease</v>
      </c>
      <c r="U107" s="16">
        <f>S107</f>
        <v>-2</v>
      </c>
      <c r="V107" s="16" t="str">
        <f>R107</f>
        <v>Kodiak Tnr Bairdi Pot 60ft</v>
      </c>
    </row>
    <row r="108" spans="2:22" s="58" customFormat="1" ht="15">
      <c r="B108" s="29"/>
      <c r="C108" s="110">
        <f>SUM(C106:C107)</f>
        <v>0</v>
      </c>
      <c r="D108" s="110"/>
      <c r="E108" s="110"/>
      <c r="F108" s="110"/>
      <c r="G108" s="110">
        <f>SUM(G106:G107)</f>
        <v>2</v>
      </c>
      <c r="H108" s="110"/>
      <c r="I108" s="110"/>
      <c r="J108" s="110"/>
      <c r="K108" s="110">
        <f>SUM(K106:K107)</f>
        <v>-4</v>
      </c>
      <c r="L108" s="110"/>
      <c r="M108" s="110"/>
      <c r="N108" s="110"/>
      <c r="O108" s="110">
        <f>SUM(O106:O107)</f>
        <v>3</v>
      </c>
      <c r="P108" s="110"/>
      <c r="Q108" s="110"/>
      <c r="R108" s="110"/>
      <c r="S108" s="110">
        <f>SUM(S106:S107)</f>
        <v>-1</v>
      </c>
      <c r="T108" s="110"/>
      <c r="U108" s="110"/>
      <c r="V108" s="110"/>
    </row>
    <row r="110" spans="1:22" ht="15">
      <c r="A110" s="54" t="s">
        <v>542</v>
      </c>
      <c r="C110" s="111">
        <f>C25+C34+C41+C59+C68+C79+C92+C103+C108</f>
        <v>-925</v>
      </c>
      <c r="D110" s="111"/>
      <c r="E110" s="111"/>
      <c r="F110" s="111"/>
      <c r="G110" s="111">
        <f>G25+G34+G41+G59+G68+G79+G92+G103+G108</f>
        <v>-2</v>
      </c>
      <c r="H110" s="111"/>
      <c r="I110" s="111"/>
      <c r="J110" s="111"/>
      <c r="K110" s="111">
        <f>K25+K34+K41+K59+K68+K79+K92+K103+K108</f>
        <v>-322</v>
      </c>
      <c r="L110" s="111"/>
      <c r="M110" s="111"/>
      <c r="N110" s="111"/>
      <c r="O110" s="111">
        <f>O25+O34+O41+O59+O68+O79+O92+O103+O108</f>
        <v>353</v>
      </c>
      <c r="P110" s="111"/>
      <c r="Q110" s="111"/>
      <c r="R110" s="111"/>
      <c r="S110" s="111">
        <f>S25+S34+S41+S59+S68+S79+S92+S103+S108</f>
        <v>896</v>
      </c>
      <c r="T110" s="111"/>
      <c r="U110" s="111"/>
      <c r="V110" s="111"/>
    </row>
    <row r="111" spans="3:19" ht="15">
      <c r="C111" s="105">
        <f>IF(VLOOKUP("Total",Table8!$A:$Z,3,FALSE)=C110,"","ERROR")</f>
      </c>
      <c r="G111" s="105">
        <f>IF(VLOOKUP("Total",Table8!$A:$Z,7,FALSE)=G110,"","ERROR")</f>
      </c>
      <c r="K111" s="105">
        <f>IF(VLOOKUP("Total",Table8!$A:$Z,11,FALSE)=K110,"","ERROR")</f>
      </c>
      <c r="O111" s="105">
        <f>IF(VLOOKUP("Total",Table8!$A:$Z,15,FALSE)=O110,"","ERROR")</f>
      </c>
      <c r="S111" s="105">
        <f>IF(VLOOKUP("Total",Table8!$A:$Z,19,FALSE)=S110,"","ERROR")</f>
      </c>
    </row>
    <row r="112" spans="1:22" s="26" customFormat="1" ht="15">
      <c r="A112" s="58" t="s">
        <v>543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</row>
  </sheetData>
  <sheetProtection/>
  <printOptions/>
  <pageMargins left="0.75" right="0.75" top="1" bottom="1" header="0.5" footer="0.5"/>
  <pageSetup horizontalDpi="600" verticalDpi="600" orientation="portrait" scale="65" r:id="rId1"/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9">
      <selection activeCell="E62" sqref="E62"/>
    </sheetView>
  </sheetViews>
  <sheetFormatPr defaultColWidth="9.140625" defaultRowHeight="15"/>
  <cols>
    <col min="1" max="1" width="7.00390625" style="82" bestFit="1" customWidth="1"/>
    <col min="2" max="2" width="5.421875" style="82" bestFit="1" customWidth="1"/>
    <col min="3" max="3" width="6.00390625" style="82" bestFit="1" customWidth="1"/>
    <col min="4" max="4" width="5.57421875" style="82" bestFit="1" customWidth="1"/>
    <col min="5" max="5" width="6.140625" style="82" bestFit="1" customWidth="1"/>
    <col min="6" max="6" width="4.421875" style="82" bestFit="1" customWidth="1"/>
    <col min="7" max="16384" width="9.140625" style="82" customWidth="1"/>
  </cols>
  <sheetData>
    <row r="1" spans="1:6" ht="15">
      <c r="A1" s="81" t="s">
        <v>351</v>
      </c>
      <c r="B1" s="81" t="s">
        <v>451</v>
      </c>
      <c r="C1" s="81" t="s">
        <v>452</v>
      </c>
      <c r="D1" s="81" t="s">
        <v>453</v>
      </c>
      <c r="E1" s="81" t="s">
        <v>454</v>
      </c>
      <c r="F1" s="81" t="s">
        <v>544</v>
      </c>
    </row>
    <row r="2" spans="1:6" ht="15">
      <c r="A2" s="81" t="s">
        <v>324</v>
      </c>
      <c r="B2" s="81">
        <v>1</v>
      </c>
      <c r="C2" s="81">
        <v>-2</v>
      </c>
      <c r="D2" s="81">
        <v>0</v>
      </c>
      <c r="E2" s="81">
        <v>-1</v>
      </c>
      <c r="F2" s="81">
        <v>2</v>
      </c>
    </row>
    <row r="3" spans="1:6" ht="15">
      <c r="A3" s="81" t="s">
        <v>326</v>
      </c>
      <c r="B3" s="81">
        <v>-1</v>
      </c>
      <c r="C3" s="81">
        <v>2</v>
      </c>
      <c r="D3" s="81">
        <v>0</v>
      </c>
      <c r="E3" s="81">
        <v>0</v>
      </c>
      <c r="F3" s="81">
        <v>-1</v>
      </c>
    </row>
    <row r="4" spans="1:6" ht="15">
      <c r="A4" s="81" t="s">
        <v>249</v>
      </c>
      <c r="B4" s="81">
        <v>-4</v>
      </c>
      <c r="C4" s="81">
        <v>0</v>
      </c>
      <c r="D4" s="81">
        <v>1</v>
      </c>
      <c r="E4" s="81">
        <v>2</v>
      </c>
      <c r="F4" s="81">
        <v>1</v>
      </c>
    </row>
    <row r="5" spans="1:6" ht="15">
      <c r="A5" s="81" t="s">
        <v>251</v>
      </c>
      <c r="B5" s="81">
        <v>0</v>
      </c>
      <c r="C5" s="81">
        <v>0</v>
      </c>
      <c r="D5" s="81">
        <v>-2</v>
      </c>
      <c r="E5" s="81">
        <v>1</v>
      </c>
      <c r="F5" s="81">
        <v>1</v>
      </c>
    </row>
    <row r="6" spans="1:6" ht="15">
      <c r="A6" s="81" t="s">
        <v>294</v>
      </c>
      <c r="B6" s="81">
        <v>0</v>
      </c>
      <c r="C6" s="81">
        <v>0</v>
      </c>
      <c r="D6" s="81">
        <v>-2</v>
      </c>
      <c r="E6" s="81">
        <v>0</v>
      </c>
      <c r="F6" s="81">
        <v>2</v>
      </c>
    </row>
    <row r="7" spans="1:6" ht="15">
      <c r="A7" s="81" t="s">
        <v>306</v>
      </c>
      <c r="B7" s="81">
        <v>-2</v>
      </c>
      <c r="C7" s="81">
        <v>-1</v>
      </c>
      <c r="D7" s="81">
        <v>2</v>
      </c>
      <c r="E7" s="81">
        <v>0</v>
      </c>
      <c r="F7" s="81">
        <v>1</v>
      </c>
    </row>
    <row r="8" spans="1:6" ht="15">
      <c r="A8" s="81" t="s">
        <v>296</v>
      </c>
      <c r="B8" s="81">
        <v>-1</v>
      </c>
      <c r="C8" s="81">
        <v>0</v>
      </c>
      <c r="D8" s="81">
        <v>-3</v>
      </c>
      <c r="E8" s="81">
        <v>-1</v>
      </c>
      <c r="F8" s="81">
        <v>5</v>
      </c>
    </row>
    <row r="9" spans="1:6" ht="15">
      <c r="A9" s="81" t="s">
        <v>298</v>
      </c>
      <c r="B9" s="81">
        <v>-2</v>
      </c>
      <c r="C9" s="81">
        <v>0</v>
      </c>
      <c r="D9" s="81">
        <v>-2</v>
      </c>
      <c r="E9" s="81">
        <v>1</v>
      </c>
      <c r="F9" s="81">
        <v>3</v>
      </c>
    </row>
    <row r="10" spans="1:6" ht="15">
      <c r="A10" s="81" t="s">
        <v>300</v>
      </c>
      <c r="B10" s="81">
        <v>-3</v>
      </c>
      <c r="C10" s="81">
        <v>0</v>
      </c>
      <c r="D10" s="81">
        <v>-2</v>
      </c>
      <c r="E10" s="81">
        <v>4</v>
      </c>
      <c r="F10" s="81">
        <v>1</v>
      </c>
    </row>
    <row r="11" spans="1:6" ht="15">
      <c r="A11" s="81" t="s">
        <v>302</v>
      </c>
      <c r="B11" s="81">
        <v>-4</v>
      </c>
      <c r="C11" s="81">
        <v>-1</v>
      </c>
      <c r="D11" s="81">
        <v>2</v>
      </c>
      <c r="E11" s="81">
        <v>1</v>
      </c>
      <c r="F11" s="81">
        <v>2</v>
      </c>
    </row>
    <row r="12" spans="1:6" ht="15">
      <c r="A12" s="81" t="s">
        <v>238</v>
      </c>
      <c r="B12" s="81">
        <v>-1</v>
      </c>
      <c r="C12" s="81">
        <v>0</v>
      </c>
      <c r="D12" s="81">
        <v>1</v>
      </c>
      <c r="E12" s="81">
        <v>0</v>
      </c>
      <c r="F12" s="81">
        <v>0</v>
      </c>
    </row>
    <row r="13" spans="1:6" ht="15">
      <c r="A13" s="81" t="s">
        <v>242</v>
      </c>
      <c r="B13" s="81">
        <v>-14</v>
      </c>
      <c r="C13" s="81">
        <v>-4</v>
      </c>
      <c r="D13" s="81">
        <v>0</v>
      </c>
      <c r="E13" s="81">
        <v>-5</v>
      </c>
      <c r="F13" s="81">
        <v>23</v>
      </c>
    </row>
    <row r="14" spans="1:6" ht="15">
      <c r="A14" s="81" t="s">
        <v>244</v>
      </c>
      <c r="B14" s="81">
        <v>-6</v>
      </c>
      <c r="C14" s="81">
        <v>3</v>
      </c>
      <c r="D14" s="81">
        <v>3</v>
      </c>
      <c r="E14" s="81">
        <v>-17</v>
      </c>
      <c r="F14" s="81">
        <v>17</v>
      </c>
    </row>
    <row r="15" spans="1:6" ht="15">
      <c r="A15" s="81" t="s">
        <v>273</v>
      </c>
      <c r="B15" s="81">
        <v>-10</v>
      </c>
      <c r="C15" s="81">
        <v>2</v>
      </c>
      <c r="D15" s="81">
        <v>-6</v>
      </c>
      <c r="E15" s="81">
        <v>3</v>
      </c>
      <c r="F15" s="81">
        <v>11</v>
      </c>
    </row>
    <row r="16" spans="1:6" ht="15">
      <c r="A16" s="81" t="s">
        <v>282</v>
      </c>
      <c r="B16" s="81">
        <v>0</v>
      </c>
      <c r="C16" s="81">
        <v>-1</v>
      </c>
      <c r="D16" s="81">
        <v>0</v>
      </c>
      <c r="E16" s="81">
        <v>0</v>
      </c>
      <c r="F16" s="81">
        <v>1</v>
      </c>
    </row>
    <row r="17" spans="1:6" ht="15">
      <c r="A17" s="81" t="s">
        <v>277</v>
      </c>
      <c r="B17" s="81">
        <v>1</v>
      </c>
      <c r="C17" s="81">
        <v>0</v>
      </c>
      <c r="D17" s="81">
        <v>0</v>
      </c>
      <c r="E17" s="81">
        <v>0</v>
      </c>
      <c r="F17" s="81">
        <v>-1</v>
      </c>
    </row>
    <row r="18" spans="1:6" ht="15">
      <c r="A18" s="81" t="s">
        <v>240</v>
      </c>
      <c r="B18" s="81">
        <v>1</v>
      </c>
      <c r="C18" s="81">
        <v>-1</v>
      </c>
      <c r="D18" s="81">
        <v>-11</v>
      </c>
      <c r="E18" s="81">
        <v>0</v>
      </c>
      <c r="F18" s="81">
        <v>11</v>
      </c>
    </row>
    <row r="19" spans="1:6" ht="15">
      <c r="A19" s="81" t="s">
        <v>269</v>
      </c>
      <c r="B19" s="81">
        <v>-6</v>
      </c>
      <c r="C19" s="81">
        <v>-1</v>
      </c>
      <c r="D19" s="81">
        <v>0</v>
      </c>
      <c r="E19" s="81">
        <v>4</v>
      </c>
      <c r="F19" s="81">
        <v>3</v>
      </c>
    </row>
    <row r="20" spans="1:6" ht="15">
      <c r="A20" s="81" t="s">
        <v>275</v>
      </c>
      <c r="B20" s="81">
        <v>0</v>
      </c>
      <c r="C20" s="81">
        <v>-2</v>
      </c>
      <c r="D20" s="81">
        <v>-3</v>
      </c>
      <c r="E20" s="81">
        <v>-3</v>
      </c>
      <c r="F20" s="81">
        <v>8</v>
      </c>
    </row>
    <row r="21" spans="1:6" ht="15">
      <c r="A21" s="81" t="s">
        <v>284</v>
      </c>
      <c r="B21" s="81">
        <v>-12</v>
      </c>
      <c r="C21" s="81">
        <v>1</v>
      </c>
      <c r="D21" s="81">
        <v>0</v>
      </c>
      <c r="E21" s="81">
        <v>9</v>
      </c>
      <c r="F21" s="81">
        <v>2</v>
      </c>
    </row>
    <row r="22" spans="1:6" ht="15">
      <c r="A22" s="81" t="s">
        <v>286</v>
      </c>
      <c r="B22" s="81">
        <v>-5</v>
      </c>
      <c r="C22" s="81">
        <v>-1</v>
      </c>
      <c r="D22" s="81">
        <v>0</v>
      </c>
      <c r="E22" s="81">
        <v>5</v>
      </c>
      <c r="F22" s="81">
        <v>1</v>
      </c>
    </row>
    <row r="23" spans="1:6" ht="15">
      <c r="A23" s="81" t="s">
        <v>335</v>
      </c>
      <c r="B23" s="81">
        <v>-1</v>
      </c>
      <c r="C23" s="81">
        <v>-9</v>
      </c>
      <c r="D23" s="81">
        <v>0</v>
      </c>
      <c r="E23" s="81">
        <v>10</v>
      </c>
      <c r="F23" s="81">
        <v>0</v>
      </c>
    </row>
    <row r="24" spans="1:6" ht="15">
      <c r="A24" s="81" t="s">
        <v>288</v>
      </c>
      <c r="B24" s="81">
        <v>-2</v>
      </c>
      <c r="C24" s="81">
        <v>1</v>
      </c>
      <c r="D24" s="81">
        <v>0</v>
      </c>
      <c r="E24" s="81">
        <v>1</v>
      </c>
      <c r="F24" s="81">
        <v>0</v>
      </c>
    </row>
    <row r="25" spans="1:6" ht="15">
      <c r="A25" s="81" t="s">
        <v>290</v>
      </c>
      <c r="B25" s="81">
        <v>-7</v>
      </c>
      <c r="C25" s="81">
        <v>-10</v>
      </c>
      <c r="D25" s="81">
        <v>0</v>
      </c>
      <c r="E25" s="81">
        <v>11</v>
      </c>
      <c r="F25" s="81">
        <v>6</v>
      </c>
    </row>
    <row r="26" spans="1:6" ht="15">
      <c r="A26" s="81" t="s">
        <v>331</v>
      </c>
      <c r="B26" s="81">
        <v>-1</v>
      </c>
      <c r="C26" s="81">
        <v>1</v>
      </c>
      <c r="D26" s="81">
        <v>0</v>
      </c>
      <c r="E26" s="81">
        <v>-2</v>
      </c>
      <c r="F26" s="81">
        <v>2</v>
      </c>
    </row>
    <row r="27" spans="1:6" ht="15">
      <c r="A27" s="81" t="s">
        <v>261</v>
      </c>
      <c r="B27" s="81">
        <v>0</v>
      </c>
      <c r="C27" s="81">
        <v>0</v>
      </c>
      <c r="D27" s="81">
        <v>-3</v>
      </c>
      <c r="E27" s="81">
        <v>1</v>
      </c>
      <c r="F27" s="81">
        <v>2</v>
      </c>
    </row>
    <row r="28" spans="1:6" ht="15">
      <c r="A28" s="81" t="s">
        <v>265</v>
      </c>
      <c r="B28" s="81">
        <v>0</v>
      </c>
      <c r="C28" s="81">
        <v>-1</v>
      </c>
      <c r="D28" s="81">
        <v>0</v>
      </c>
      <c r="E28" s="81">
        <v>0</v>
      </c>
      <c r="F28" s="81">
        <v>1</v>
      </c>
    </row>
    <row r="29" spans="1:6" ht="15">
      <c r="A29" s="81" t="s">
        <v>280</v>
      </c>
      <c r="B29" s="81">
        <v>-25</v>
      </c>
      <c r="C29" s="81">
        <v>4</v>
      </c>
      <c r="D29" s="81">
        <v>0</v>
      </c>
      <c r="E29" s="81">
        <v>12</v>
      </c>
      <c r="F29" s="81">
        <v>9</v>
      </c>
    </row>
    <row r="30" spans="1:6" ht="15">
      <c r="A30" s="81" t="s">
        <v>308</v>
      </c>
      <c r="B30" s="81">
        <v>0</v>
      </c>
      <c r="C30" s="81">
        <v>1</v>
      </c>
      <c r="D30" s="81">
        <v>-4</v>
      </c>
      <c r="E30" s="81">
        <v>-1</v>
      </c>
      <c r="F30" s="81">
        <v>4</v>
      </c>
    </row>
    <row r="31" spans="1:6" ht="15">
      <c r="A31" s="81" t="s">
        <v>310</v>
      </c>
      <c r="B31" s="81">
        <v>-15</v>
      </c>
      <c r="C31" s="81">
        <v>-1</v>
      </c>
      <c r="D31" s="81">
        <v>1</v>
      </c>
      <c r="E31" s="81">
        <v>0</v>
      </c>
      <c r="F31" s="81">
        <v>15</v>
      </c>
    </row>
    <row r="32" spans="1:6" ht="15">
      <c r="A32" s="81" t="s">
        <v>271</v>
      </c>
      <c r="B32" s="81">
        <v>-24</v>
      </c>
      <c r="C32" s="81">
        <v>1</v>
      </c>
      <c r="D32" s="81">
        <v>0</v>
      </c>
      <c r="E32" s="81">
        <v>3</v>
      </c>
      <c r="F32" s="81">
        <v>20</v>
      </c>
    </row>
    <row r="33" spans="1:6" ht="15">
      <c r="A33" s="81" t="s">
        <v>314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</row>
    <row r="34" spans="1:6" ht="15">
      <c r="A34" s="81" t="s">
        <v>316</v>
      </c>
      <c r="B34" s="81">
        <v>0</v>
      </c>
      <c r="C34" s="81">
        <v>-1</v>
      </c>
      <c r="D34" s="81">
        <v>-14</v>
      </c>
      <c r="E34" s="81">
        <v>4</v>
      </c>
      <c r="F34" s="81">
        <v>11</v>
      </c>
    </row>
    <row r="35" spans="1:6" ht="15">
      <c r="A35" s="81" t="s">
        <v>333</v>
      </c>
      <c r="B35" s="81">
        <v>-7</v>
      </c>
      <c r="C35" s="81">
        <v>1</v>
      </c>
      <c r="D35" s="81">
        <v>-15</v>
      </c>
      <c r="E35" s="81">
        <v>5</v>
      </c>
      <c r="F35" s="81">
        <v>16</v>
      </c>
    </row>
    <row r="36" spans="1:6" ht="15">
      <c r="A36" s="81" t="s">
        <v>187</v>
      </c>
      <c r="B36" s="81">
        <v>1</v>
      </c>
      <c r="C36" s="81">
        <v>4</v>
      </c>
      <c r="D36" s="81">
        <v>-14</v>
      </c>
      <c r="E36" s="81">
        <v>-5</v>
      </c>
      <c r="F36" s="81">
        <v>14</v>
      </c>
    </row>
    <row r="37" spans="1:6" ht="15">
      <c r="A37" s="81" t="s">
        <v>195</v>
      </c>
      <c r="B37" s="81">
        <v>-45</v>
      </c>
      <c r="C37" s="81">
        <v>-1</v>
      </c>
      <c r="D37" s="81">
        <v>0</v>
      </c>
      <c r="E37" s="81">
        <v>21</v>
      </c>
      <c r="F37" s="81">
        <v>25</v>
      </c>
    </row>
    <row r="38" spans="1:6" ht="15">
      <c r="A38" s="81" t="s">
        <v>201</v>
      </c>
      <c r="B38" s="81">
        <v>-5</v>
      </c>
      <c r="C38" s="81">
        <v>-2</v>
      </c>
      <c r="D38" s="81">
        <v>2</v>
      </c>
      <c r="E38" s="81">
        <v>-3</v>
      </c>
      <c r="F38" s="81">
        <v>8</v>
      </c>
    </row>
    <row r="39" spans="1:6" ht="15">
      <c r="A39" s="81" t="s">
        <v>207</v>
      </c>
      <c r="B39" s="81">
        <v>-23</v>
      </c>
      <c r="C39" s="81">
        <v>7</v>
      </c>
      <c r="D39" s="81">
        <v>-67</v>
      </c>
      <c r="E39" s="81">
        <v>17</v>
      </c>
      <c r="F39" s="81">
        <v>66</v>
      </c>
    </row>
    <row r="40" spans="1:6" ht="15">
      <c r="A40" s="81" t="s">
        <v>213</v>
      </c>
      <c r="B40" s="81">
        <v>7</v>
      </c>
      <c r="C40" s="81">
        <v>-4</v>
      </c>
      <c r="D40" s="81">
        <v>0</v>
      </c>
      <c r="E40" s="81">
        <v>-8</v>
      </c>
      <c r="F40" s="81">
        <v>5</v>
      </c>
    </row>
    <row r="41" spans="1:6" ht="15">
      <c r="A41" s="81" t="s">
        <v>215</v>
      </c>
      <c r="B41" s="81">
        <v>-7</v>
      </c>
      <c r="C41" s="81">
        <v>3</v>
      </c>
      <c r="D41" s="81">
        <v>0</v>
      </c>
      <c r="E41" s="81">
        <v>6</v>
      </c>
      <c r="F41" s="81">
        <v>-2</v>
      </c>
    </row>
    <row r="42" spans="1:6" ht="15">
      <c r="A42" s="81" t="s">
        <v>209</v>
      </c>
      <c r="B42" s="81">
        <v>-6</v>
      </c>
      <c r="C42" s="81">
        <v>2</v>
      </c>
      <c r="D42" s="81">
        <v>-1</v>
      </c>
      <c r="E42" s="81">
        <v>2</v>
      </c>
      <c r="F42" s="81">
        <v>3</v>
      </c>
    </row>
    <row r="43" spans="1:6" ht="15">
      <c r="A43" s="81" t="s">
        <v>189</v>
      </c>
      <c r="B43" s="81">
        <v>22</v>
      </c>
      <c r="C43" s="81">
        <v>-10</v>
      </c>
      <c r="D43" s="81">
        <v>-14</v>
      </c>
      <c r="E43" s="81">
        <v>5</v>
      </c>
      <c r="F43" s="81">
        <v>-3</v>
      </c>
    </row>
    <row r="44" spans="1:6" ht="15">
      <c r="A44" s="81" t="s">
        <v>197</v>
      </c>
      <c r="B44" s="81">
        <v>-49</v>
      </c>
      <c r="C44" s="81">
        <v>-28</v>
      </c>
      <c r="D44" s="81">
        <v>0</v>
      </c>
      <c r="E44" s="81">
        <v>34</v>
      </c>
      <c r="F44" s="81">
        <v>43</v>
      </c>
    </row>
    <row r="45" spans="1:6" ht="15">
      <c r="A45" s="81" t="s">
        <v>203</v>
      </c>
      <c r="B45" s="81">
        <v>8</v>
      </c>
      <c r="C45" s="81">
        <v>-3</v>
      </c>
      <c r="D45" s="81">
        <v>-52</v>
      </c>
      <c r="E45" s="81">
        <v>0</v>
      </c>
      <c r="F45" s="81">
        <v>47</v>
      </c>
    </row>
    <row r="46" spans="1:6" ht="15">
      <c r="A46" s="81" t="s">
        <v>217</v>
      </c>
      <c r="B46" s="81">
        <v>0</v>
      </c>
      <c r="C46" s="81">
        <v>-1</v>
      </c>
      <c r="D46" s="81">
        <v>-2</v>
      </c>
      <c r="E46" s="81">
        <v>-7</v>
      </c>
      <c r="F46" s="81">
        <v>10</v>
      </c>
    </row>
    <row r="47" spans="1:6" ht="15">
      <c r="A47" s="81" t="s">
        <v>221</v>
      </c>
      <c r="B47" s="81">
        <v>-65</v>
      </c>
      <c r="C47" s="81">
        <v>-26</v>
      </c>
      <c r="D47" s="81">
        <v>0</v>
      </c>
      <c r="E47" s="81">
        <v>-23</v>
      </c>
      <c r="F47" s="81">
        <v>114</v>
      </c>
    </row>
    <row r="48" spans="1:6" ht="15">
      <c r="A48" s="81" t="s">
        <v>193</v>
      </c>
      <c r="B48" s="81">
        <v>-19</v>
      </c>
      <c r="C48" s="81">
        <v>-3</v>
      </c>
      <c r="D48" s="81">
        <v>0</v>
      </c>
      <c r="E48" s="81">
        <v>10</v>
      </c>
      <c r="F48" s="81">
        <v>12</v>
      </c>
    </row>
    <row r="49" spans="1:6" ht="15">
      <c r="A49" s="81" t="s">
        <v>199</v>
      </c>
      <c r="B49" s="81">
        <v>-4</v>
      </c>
      <c r="C49" s="81">
        <v>0</v>
      </c>
      <c r="D49" s="81">
        <v>0</v>
      </c>
      <c r="E49" s="81">
        <v>3</v>
      </c>
      <c r="F49" s="81">
        <v>1</v>
      </c>
    </row>
    <row r="50" spans="1:6" ht="15">
      <c r="A50" s="81" t="s">
        <v>205</v>
      </c>
      <c r="B50" s="81">
        <v>11</v>
      </c>
      <c r="C50" s="81">
        <v>5</v>
      </c>
      <c r="D50" s="81">
        <v>-53</v>
      </c>
      <c r="E50" s="81">
        <v>-14</v>
      </c>
      <c r="F50" s="81">
        <v>51</v>
      </c>
    </row>
    <row r="51" spans="1:6" ht="15">
      <c r="A51" s="81" t="s">
        <v>211</v>
      </c>
      <c r="B51" s="81">
        <v>-21</v>
      </c>
      <c r="C51" s="81">
        <v>4</v>
      </c>
      <c r="D51" s="81">
        <v>-32</v>
      </c>
      <c r="E51" s="81">
        <v>8</v>
      </c>
      <c r="F51" s="81">
        <v>41</v>
      </c>
    </row>
    <row r="52" spans="1:6" ht="15">
      <c r="A52" s="81" t="s">
        <v>219</v>
      </c>
      <c r="B52" s="81">
        <v>-28</v>
      </c>
      <c r="C52" s="81">
        <v>-1</v>
      </c>
      <c r="D52" s="81">
        <v>0</v>
      </c>
      <c r="E52" s="81">
        <v>19</v>
      </c>
      <c r="F52" s="81">
        <v>10</v>
      </c>
    </row>
    <row r="53" spans="1:6" ht="15">
      <c r="A53" s="81" t="s">
        <v>225</v>
      </c>
      <c r="B53" s="81">
        <v>-23</v>
      </c>
      <c r="C53" s="81">
        <v>1</v>
      </c>
      <c r="D53" s="81">
        <v>14</v>
      </c>
      <c r="E53" s="81">
        <v>3</v>
      </c>
      <c r="F53" s="81">
        <v>5</v>
      </c>
    </row>
    <row r="54" spans="1:6" ht="15">
      <c r="A54" s="81" t="s">
        <v>223</v>
      </c>
      <c r="B54" s="81">
        <v>-126</v>
      </c>
      <c r="C54" s="81">
        <v>-5</v>
      </c>
      <c r="D54" s="81">
        <v>0</v>
      </c>
      <c r="E54" s="81">
        <v>48</v>
      </c>
      <c r="F54" s="81">
        <v>83</v>
      </c>
    </row>
    <row r="55" spans="1:6" ht="15">
      <c r="A55" s="81" t="s">
        <v>229</v>
      </c>
      <c r="B55" s="81">
        <v>-71</v>
      </c>
      <c r="C55" s="81">
        <v>9</v>
      </c>
      <c r="D55" s="81">
        <v>9</v>
      </c>
      <c r="E55" s="81">
        <v>44</v>
      </c>
      <c r="F55" s="81">
        <v>9</v>
      </c>
    </row>
    <row r="56" spans="1:6" ht="15">
      <c r="A56" s="81" t="s">
        <v>231</v>
      </c>
      <c r="B56" s="81">
        <v>-11</v>
      </c>
      <c r="C56" s="81">
        <v>4</v>
      </c>
      <c r="D56" s="81">
        <v>-29</v>
      </c>
      <c r="E56" s="81">
        <v>28</v>
      </c>
      <c r="F56" s="81">
        <v>8</v>
      </c>
    </row>
    <row r="57" spans="1:6" ht="15">
      <c r="A57" s="81" t="s">
        <v>233</v>
      </c>
      <c r="B57" s="81">
        <v>-111</v>
      </c>
      <c r="C57" s="81">
        <v>36</v>
      </c>
      <c r="D57" s="81">
        <v>0</v>
      </c>
      <c r="E57" s="81">
        <v>62</v>
      </c>
      <c r="F57" s="81">
        <v>13</v>
      </c>
    </row>
    <row r="58" spans="1:6" ht="15">
      <c r="A58" s="81" t="s">
        <v>235</v>
      </c>
      <c r="B58" s="81">
        <v>-31</v>
      </c>
      <c r="C58" s="81">
        <v>9</v>
      </c>
      <c r="D58" s="81">
        <v>2</v>
      </c>
      <c r="E58" s="81">
        <v>19</v>
      </c>
      <c r="F58" s="81">
        <v>1</v>
      </c>
    </row>
    <row r="59" spans="1:6" ht="15">
      <c r="A59" s="81" t="s">
        <v>247</v>
      </c>
      <c r="B59" s="81">
        <v>-78</v>
      </c>
      <c r="C59" s="81">
        <v>5</v>
      </c>
      <c r="D59" s="81">
        <v>-67</v>
      </c>
      <c r="E59" s="81">
        <v>25</v>
      </c>
      <c r="F59" s="81">
        <v>115</v>
      </c>
    </row>
    <row r="60" spans="1:6" ht="15">
      <c r="A60" s="81" t="s">
        <v>227</v>
      </c>
      <c r="B60" s="81">
        <v>-35</v>
      </c>
      <c r="C60" s="81">
        <v>7</v>
      </c>
      <c r="D60" s="81">
        <v>16</v>
      </c>
      <c r="E60" s="81">
        <v>9</v>
      </c>
      <c r="F60" s="81">
        <v>3</v>
      </c>
    </row>
    <row r="61" spans="1:6" ht="15">
      <c r="A61" s="81" t="s">
        <v>191</v>
      </c>
      <c r="B61" s="81">
        <v>-65</v>
      </c>
      <c r="C61" s="81">
        <v>3</v>
      </c>
      <c r="D61" s="81">
        <v>26</v>
      </c>
      <c r="E61" s="81">
        <v>-2</v>
      </c>
      <c r="F61" s="81">
        <v>38</v>
      </c>
    </row>
    <row r="62" spans="1:6" ht="15">
      <c r="A62" s="65" t="s">
        <v>267</v>
      </c>
      <c r="B62" s="81">
        <v>2</v>
      </c>
      <c r="C62" s="81">
        <v>0</v>
      </c>
      <c r="D62" s="81">
        <v>-3</v>
      </c>
      <c r="E62" s="81">
        <v>0</v>
      </c>
      <c r="F62" s="81">
        <v>1</v>
      </c>
    </row>
    <row r="63" spans="1:6" ht="15">
      <c r="A63" s="81" t="s">
        <v>345</v>
      </c>
      <c r="B63" s="81">
        <v>0</v>
      </c>
      <c r="C63" s="81">
        <v>0</v>
      </c>
      <c r="D63" s="81">
        <v>-2</v>
      </c>
      <c r="E63" s="81">
        <v>1</v>
      </c>
      <c r="F63" s="81">
        <v>1</v>
      </c>
    </row>
    <row r="64" spans="1:6" ht="15">
      <c r="A64" s="81" t="s">
        <v>347</v>
      </c>
      <c r="B64" s="81">
        <v>0</v>
      </c>
      <c r="C64" s="81">
        <v>2</v>
      </c>
      <c r="D64" s="81">
        <v>-2</v>
      </c>
      <c r="E64" s="81">
        <v>2</v>
      </c>
      <c r="F64" s="81">
        <v>-2</v>
      </c>
    </row>
    <row r="65" spans="1:6" ht="15">
      <c r="A65" s="81" t="s">
        <v>329</v>
      </c>
      <c r="B65" s="81">
        <v>-3</v>
      </c>
      <c r="C65" s="81">
        <v>0</v>
      </c>
      <c r="D65" s="81">
        <v>4</v>
      </c>
      <c r="E65" s="81">
        <v>2</v>
      </c>
      <c r="F65" s="81">
        <v>-3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6.57421875" style="2" customWidth="1"/>
    <col min="2" max="2" width="9.7109375" style="128" customWidth="1"/>
    <col min="3" max="3" width="8.7109375" style="128" customWidth="1"/>
    <col min="4" max="4" width="7.7109375" style="128" customWidth="1"/>
    <col min="5" max="5" width="8.7109375" style="129" customWidth="1"/>
    <col min="6" max="6" width="9.7109375" style="128" customWidth="1"/>
    <col min="7" max="7" width="8.7109375" style="128" customWidth="1"/>
    <col min="8" max="8" width="7.7109375" style="128" customWidth="1"/>
    <col min="9" max="9" width="8.7109375" style="129" customWidth="1"/>
    <col min="10" max="10" width="9.7109375" style="128" customWidth="1"/>
    <col min="11" max="11" width="8.7109375" style="128" customWidth="1"/>
    <col min="12" max="12" width="7.7109375" style="128" customWidth="1"/>
    <col min="13" max="13" width="8.7109375" style="129" customWidth="1"/>
    <col min="14" max="14" width="9.7109375" style="128" customWidth="1"/>
    <col min="15" max="15" width="8.7109375" style="128" customWidth="1"/>
    <col min="16" max="16" width="7.7109375" style="128" customWidth="1"/>
    <col min="17" max="17" width="8.7109375" style="129" customWidth="1"/>
    <col min="18" max="18" width="9.7109375" style="128" customWidth="1"/>
    <col min="19" max="19" width="8.7109375" style="128" customWidth="1"/>
    <col min="20" max="20" width="7.7109375" style="128" customWidth="1"/>
    <col min="21" max="21" width="8.7109375" style="129" customWidth="1"/>
    <col min="22" max="22" width="9.7109375" style="128" customWidth="1"/>
    <col min="23" max="16384" width="9.140625" style="2" customWidth="1"/>
  </cols>
  <sheetData>
    <row r="1" spans="1:23" ht="19.5">
      <c r="A1" s="83" t="s">
        <v>545</v>
      </c>
      <c r="B1" s="125"/>
      <c r="C1" s="125"/>
      <c r="D1" s="125"/>
      <c r="E1" s="126"/>
      <c r="F1" s="125"/>
      <c r="G1" s="127"/>
      <c r="H1" s="125"/>
      <c r="I1" s="126"/>
      <c r="J1" s="125"/>
      <c r="K1" s="125"/>
      <c r="L1" s="125"/>
      <c r="M1" s="126"/>
      <c r="N1" s="125"/>
      <c r="O1" s="125"/>
      <c r="P1" s="125"/>
      <c r="Q1" s="126"/>
      <c r="R1" s="125"/>
      <c r="S1" s="125"/>
      <c r="T1" s="125"/>
      <c r="U1" s="126"/>
      <c r="V1" s="125"/>
      <c r="W1" s="53"/>
    </row>
    <row r="2" ht="15">
      <c r="W2" s="53"/>
    </row>
    <row r="3" spans="1:23" ht="30" customHeight="1">
      <c r="A3" s="62"/>
      <c r="B3" s="130"/>
      <c r="C3" s="131" t="s">
        <v>546</v>
      </c>
      <c r="D3" s="132" t="s">
        <v>547</v>
      </c>
      <c r="E3" s="133"/>
      <c r="F3" s="134"/>
      <c r="G3" s="135" t="s">
        <v>546</v>
      </c>
      <c r="H3" s="136" t="s">
        <v>548</v>
      </c>
      <c r="I3" s="137"/>
      <c r="J3" s="134"/>
      <c r="K3" s="135" t="s">
        <v>549</v>
      </c>
      <c r="L3" s="136" t="s">
        <v>547</v>
      </c>
      <c r="M3" s="137"/>
      <c r="N3" s="134"/>
      <c r="O3" s="135" t="s">
        <v>549</v>
      </c>
      <c r="P3" s="136" t="s">
        <v>548</v>
      </c>
      <c r="Q3" s="137"/>
      <c r="R3" s="134"/>
      <c r="S3" s="138" t="s">
        <v>499</v>
      </c>
      <c r="T3" s="136"/>
      <c r="U3" s="137"/>
      <c r="V3" s="139" t="s">
        <v>550</v>
      </c>
      <c r="W3" s="53"/>
    </row>
    <row r="4" spans="1:23" ht="15">
      <c r="A4" s="63" t="s">
        <v>551</v>
      </c>
      <c r="B4" s="140" t="s">
        <v>552</v>
      </c>
      <c r="C4" s="131" t="s">
        <v>553</v>
      </c>
      <c r="D4" s="131" t="s">
        <v>554</v>
      </c>
      <c r="E4" s="141" t="s">
        <v>555</v>
      </c>
      <c r="F4" s="142" t="s">
        <v>552</v>
      </c>
      <c r="G4" s="135" t="s">
        <v>553</v>
      </c>
      <c r="H4" s="135" t="s">
        <v>554</v>
      </c>
      <c r="I4" s="143" t="s">
        <v>555</v>
      </c>
      <c r="J4" s="142" t="s">
        <v>552</v>
      </c>
      <c r="K4" s="135" t="s">
        <v>553</v>
      </c>
      <c r="L4" s="135" t="s">
        <v>554</v>
      </c>
      <c r="M4" s="143" t="s">
        <v>555</v>
      </c>
      <c r="N4" s="142" t="s">
        <v>552</v>
      </c>
      <c r="O4" s="135" t="s">
        <v>553</v>
      </c>
      <c r="P4" s="135" t="s">
        <v>554</v>
      </c>
      <c r="Q4" s="143" t="s">
        <v>555</v>
      </c>
      <c r="R4" s="142" t="s">
        <v>552</v>
      </c>
      <c r="S4" s="135" t="s">
        <v>553</v>
      </c>
      <c r="T4" s="135" t="s">
        <v>554</v>
      </c>
      <c r="U4" s="143" t="s">
        <v>555</v>
      </c>
      <c r="V4" s="144" t="s">
        <v>552</v>
      </c>
      <c r="W4" s="53"/>
    </row>
    <row r="5" spans="1:23" ht="15">
      <c r="A5" s="99"/>
      <c r="B5" s="145"/>
      <c r="C5" s="146"/>
      <c r="D5" s="146"/>
      <c r="E5" s="147"/>
      <c r="F5" s="145"/>
      <c r="G5" s="146"/>
      <c r="H5" s="146"/>
      <c r="I5" s="147"/>
      <c r="J5" s="145"/>
      <c r="K5" s="146"/>
      <c r="L5" s="146"/>
      <c r="M5" s="147"/>
      <c r="N5" s="145"/>
      <c r="O5" s="146"/>
      <c r="P5" s="146"/>
      <c r="Q5" s="147"/>
      <c r="R5" s="145"/>
      <c r="S5" s="146"/>
      <c r="T5" s="146"/>
      <c r="U5" s="148"/>
      <c r="V5" s="149"/>
      <c r="W5" s="53"/>
    </row>
    <row r="6" spans="1:23" ht="15">
      <c r="A6" s="64" t="s">
        <v>425</v>
      </c>
      <c r="B6" s="150">
        <v>24</v>
      </c>
      <c r="C6" s="151">
        <v>0</v>
      </c>
      <c r="D6" s="151">
        <v>-1</v>
      </c>
      <c r="E6" s="152">
        <v>23</v>
      </c>
      <c r="F6" s="150">
        <v>5</v>
      </c>
      <c r="G6" s="151">
        <v>0</v>
      </c>
      <c r="H6" s="151">
        <v>0</v>
      </c>
      <c r="I6" s="152">
        <v>5</v>
      </c>
      <c r="J6" s="150">
        <v>25</v>
      </c>
      <c r="K6" s="151">
        <v>0</v>
      </c>
      <c r="L6" s="151">
        <v>-2</v>
      </c>
      <c r="M6" s="152">
        <v>23</v>
      </c>
      <c r="N6" s="150">
        <v>5</v>
      </c>
      <c r="O6" s="151">
        <v>0</v>
      </c>
      <c r="P6" s="151">
        <v>-1</v>
      </c>
      <c r="Q6" s="152">
        <v>4</v>
      </c>
      <c r="R6" s="150">
        <v>-59</v>
      </c>
      <c r="S6" s="151">
        <v>0</v>
      </c>
      <c r="T6" s="151">
        <v>0</v>
      </c>
      <c r="U6" s="153">
        <v>-59</v>
      </c>
      <c r="V6" s="154">
        <v>0</v>
      </c>
      <c r="W6" s="53"/>
    </row>
    <row r="7" spans="1:23" ht="15">
      <c r="A7" s="64" t="s">
        <v>432</v>
      </c>
      <c r="B7" s="155">
        <v>-22</v>
      </c>
      <c r="C7" s="156">
        <v>49</v>
      </c>
      <c r="D7" s="156">
        <v>-1</v>
      </c>
      <c r="E7" s="152">
        <v>26</v>
      </c>
      <c r="F7" s="155">
        <v>2</v>
      </c>
      <c r="G7" s="156">
        <v>11</v>
      </c>
      <c r="H7" s="156">
        <v>0</v>
      </c>
      <c r="I7" s="152">
        <v>13</v>
      </c>
      <c r="J7" s="155">
        <v>27</v>
      </c>
      <c r="K7" s="156">
        <v>-2</v>
      </c>
      <c r="L7" s="156">
        <v>0</v>
      </c>
      <c r="M7" s="152">
        <v>25</v>
      </c>
      <c r="N7" s="155">
        <v>-3</v>
      </c>
      <c r="O7" s="156">
        <v>-22</v>
      </c>
      <c r="P7" s="156">
        <v>-1</v>
      </c>
      <c r="Q7" s="152">
        <v>-26</v>
      </c>
      <c r="R7" s="155">
        <v>-4</v>
      </c>
      <c r="S7" s="156">
        <v>-36</v>
      </c>
      <c r="T7" s="156">
        <v>0</v>
      </c>
      <c r="U7" s="153">
        <v>-40</v>
      </c>
      <c r="V7" s="157">
        <v>0</v>
      </c>
      <c r="W7" s="53"/>
    </row>
    <row r="8" spans="1:23" ht="15">
      <c r="A8" s="64" t="s">
        <v>463</v>
      </c>
      <c r="B8" s="155">
        <v>-62</v>
      </c>
      <c r="C8" s="156">
        <v>-17</v>
      </c>
      <c r="D8" s="156">
        <v>0</v>
      </c>
      <c r="E8" s="152">
        <v>-79</v>
      </c>
      <c r="F8" s="155">
        <v>-8</v>
      </c>
      <c r="G8" s="156">
        <v>-7</v>
      </c>
      <c r="H8" s="156">
        <v>0</v>
      </c>
      <c r="I8" s="152">
        <v>-15</v>
      </c>
      <c r="J8" s="155">
        <v>52</v>
      </c>
      <c r="K8" s="156">
        <v>-1</v>
      </c>
      <c r="L8" s="156">
        <v>0</v>
      </c>
      <c r="M8" s="152">
        <v>51</v>
      </c>
      <c r="N8" s="155">
        <v>6</v>
      </c>
      <c r="O8" s="156">
        <v>4</v>
      </c>
      <c r="P8" s="156">
        <v>0</v>
      </c>
      <c r="Q8" s="152">
        <v>10</v>
      </c>
      <c r="R8" s="155">
        <v>12</v>
      </c>
      <c r="S8" s="156">
        <v>21</v>
      </c>
      <c r="T8" s="156">
        <v>0</v>
      </c>
      <c r="U8" s="153">
        <v>33</v>
      </c>
      <c r="V8" s="157">
        <v>0</v>
      </c>
      <c r="W8" s="53"/>
    </row>
    <row r="9" spans="1:23" ht="15">
      <c r="A9" s="64" t="s">
        <v>464</v>
      </c>
      <c r="B9" s="155">
        <v>-70</v>
      </c>
      <c r="C9" s="156">
        <v>-28</v>
      </c>
      <c r="D9" s="156">
        <v>-3</v>
      </c>
      <c r="E9" s="152">
        <v>-101</v>
      </c>
      <c r="F9" s="155">
        <v>-5</v>
      </c>
      <c r="G9" s="156">
        <v>-5</v>
      </c>
      <c r="H9" s="156">
        <v>-1</v>
      </c>
      <c r="I9" s="152">
        <v>-11</v>
      </c>
      <c r="J9" s="155">
        <v>45</v>
      </c>
      <c r="K9" s="156">
        <v>-22</v>
      </c>
      <c r="L9" s="156">
        <v>0</v>
      </c>
      <c r="M9" s="152">
        <v>23</v>
      </c>
      <c r="N9" s="155">
        <v>24</v>
      </c>
      <c r="O9" s="156">
        <v>-28</v>
      </c>
      <c r="P9" s="156">
        <v>-1</v>
      </c>
      <c r="Q9" s="152">
        <v>-5</v>
      </c>
      <c r="R9" s="155">
        <v>6</v>
      </c>
      <c r="S9" s="156">
        <v>83</v>
      </c>
      <c r="T9" s="156">
        <v>0</v>
      </c>
      <c r="U9" s="153">
        <v>89</v>
      </c>
      <c r="V9" s="157">
        <v>0</v>
      </c>
      <c r="W9" s="53"/>
    </row>
    <row r="10" spans="1:23" ht="15">
      <c r="A10" s="64" t="s">
        <v>465</v>
      </c>
      <c r="B10" s="155">
        <v>-81</v>
      </c>
      <c r="C10" s="156">
        <v>13</v>
      </c>
      <c r="D10" s="156">
        <v>-2</v>
      </c>
      <c r="E10" s="152">
        <v>-70</v>
      </c>
      <c r="F10" s="155">
        <v>6</v>
      </c>
      <c r="G10" s="156">
        <v>11</v>
      </c>
      <c r="H10" s="156">
        <v>0</v>
      </c>
      <c r="I10" s="152">
        <v>17</v>
      </c>
      <c r="J10" s="155">
        <v>8</v>
      </c>
      <c r="K10" s="156">
        <v>-19</v>
      </c>
      <c r="L10" s="156">
        <v>0</v>
      </c>
      <c r="M10" s="152">
        <v>-11</v>
      </c>
      <c r="N10" s="155">
        <v>37</v>
      </c>
      <c r="O10" s="156">
        <v>-14</v>
      </c>
      <c r="P10" s="156">
        <v>0</v>
      </c>
      <c r="Q10" s="152">
        <v>23</v>
      </c>
      <c r="R10" s="155">
        <v>30</v>
      </c>
      <c r="S10" s="156">
        <v>9</v>
      </c>
      <c r="T10" s="156">
        <v>0</v>
      </c>
      <c r="U10" s="153">
        <v>39</v>
      </c>
      <c r="V10" s="157">
        <v>0</v>
      </c>
      <c r="W10" s="53"/>
    </row>
    <row r="11" spans="1:23" ht="15">
      <c r="A11" s="64" t="s">
        <v>466</v>
      </c>
      <c r="B11" s="155">
        <v>-94</v>
      </c>
      <c r="C11" s="156">
        <v>8</v>
      </c>
      <c r="D11" s="156">
        <v>-3</v>
      </c>
      <c r="E11" s="152">
        <v>-89</v>
      </c>
      <c r="F11" s="155">
        <v>8</v>
      </c>
      <c r="G11" s="156">
        <v>-11</v>
      </c>
      <c r="H11" s="156">
        <v>0</v>
      </c>
      <c r="I11" s="152">
        <v>-3</v>
      </c>
      <c r="J11" s="155">
        <v>40</v>
      </c>
      <c r="K11" s="156">
        <v>-20</v>
      </c>
      <c r="L11" s="156">
        <v>0</v>
      </c>
      <c r="M11" s="152">
        <v>20</v>
      </c>
      <c r="N11" s="155">
        <v>36</v>
      </c>
      <c r="O11" s="156">
        <v>11</v>
      </c>
      <c r="P11" s="156">
        <v>0</v>
      </c>
      <c r="Q11" s="152">
        <v>47</v>
      </c>
      <c r="R11" s="155">
        <v>10</v>
      </c>
      <c r="S11" s="156">
        <v>12</v>
      </c>
      <c r="T11" s="156">
        <v>0</v>
      </c>
      <c r="U11" s="153">
        <v>22</v>
      </c>
      <c r="V11" s="157">
        <v>0</v>
      </c>
      <c r="W11" s="53"/>
    </row>
    <row r="12" spans="1:23" ht="15">
      <c r="A12" s="64" t="s">
        <v>467</v>
      </c>
      <c r="B12" s="155">
        <v>-84</v>
      </c>
      <c r="C12" s="156">
        <v>4</v>
      </c>
      <c r="D12" s="156">
        <v>0</v>
      </c>
      <c r="E12" s="152">
        <v>-80</v>
      </c>
      <c r="F12" s="155">
        <v>-4</v>
      </c>
      <c r="G12" s="156">
        <v>7</v>
      </c>
      <c r="H12" s="156">
        <v>0</v>
      </c>
      <c r="I12" s="152">
        <v>3</v>
      </c>
      <c r="J12" s="155">
        <v>27</v>
      </c>
      <c r="K12" s="156">
        <v>-11</v>
      </c>
      <c r="L12" s="156">
        <v>-1</v>
      </c>
      <c r="M12" s="152">
        <v>15</v>
      </c>
      <c r="N12" s="155">
        <v>47</v>
      </c>
      <c r="O12" s="156">
        <v>5</v>
      </c>
      <c r="P12" s="156">
        <v>0</v>
      </c>
      <c r="Q12" s="152">
        <v>52</v>
      </c>
      <c r="R12" s="155">
        <v>14</v>
      </c>
      <c r="S12" s="156">
        <v>-5</v>
      </c>
      <c r="T12" s="156">
        <v>0</v>
      </c>
      <c r="U12" s="153">
        <v>9</v>
      </c>
      <c r="V12" s="157">
        <v>0</v>
      </c>
      <c r="W12" s="53"/>
    </row>
    <row r="13" spans="1:23" ht="15">
      <c r="A13" s="64" t="s">
        <v>468</v>
      </c>
      <c r="B13" s="155">
        <v>-81</v>
      </c>
      <c r="C13" s="156">
        <v>-45</v>
      </c>
      <c r="D13" s="156">
        <v>-1</v>
      </c>
      <c r="E13" s="152">
        <v>-127</v>
      </c>
      <c r="F13" s="155">
        <v>4</v>
      </c>
      <c r="G13" s="156">
        <v>17</v>
      </c>
      <c r="H13" s="156">
        <v>0</v>
      </c>
      <c r="I13" s="152">
        <v>21</v>
      </c>
      <c r="J13" s="155">
        <v>-15</v>
      </c>
      <c r="K13" s="156">
        <v>25</v>
      </c>
      <c r="L13" s="156">
        <v>0</v>
      </c>
      <c r="M13" s="152">
        <v>10</v>
      </c>
      <c r="N13" s="155">
        <v>27</v>
      </c>
      <c r="O13" s="156">
        <v>31</v>
      </c>
      <c r="P13" s="156">
        <v>0</v>
      </c>
      <c r="Q13" s="152">
        <v>58</v>
      </c>
      <c r="R13" s="155">
        <v>56</v>
      </c>
      <c r="S13" s="156">
        <v>-28</v>
      </c>
      <c r="T13" s="156">
        <v>-1</v>
      </c>
      <c r="U13" s="153">
        <v>27</v>
      </c>
      <c r="V13" s="157">
        <v>9</v>
      </c>
      <c r="W13" s="53"/>
    </row>
    <row r="14" spans="1:23" ht="15">
      <c r="A14" s="64" t="s">
        <v>469</v>
      </c>
      <c r="B14" s="155">
        <v>-86</v>
      </c>
      <c r="C14" s="156">
        <v>31</v>
      </c>
      <c r="D14" s="156">
        <v>-5</v>
      </c>
      <c r="E14" s="152">
        <v>-60</v>
      </c>
      <c r="F14" s="155">
        <v>13</v>
      </c>
      <c r="G14" s="156">
        <v>1</v>
      </c>
      <c r="H14" s="156">
        <v>0</v>
      </c>
      <c r="I14" s="152">
        <v>14</v>
      </c>
      <c r="J14" s="155">
        <v>-1</v>
      </c>
      <c r="K14" s="156">
        <v>14</v>
      </c>
      <c r="L14" s="156">
        <v>-2</v>
      </c>
      <c r="M14" s="152">
        <v>11</v>
      </c>
      <c r="N14" s="155">
        <v>62</v>
      </c>
      <c r="O14" s="156">
        <v>2</v>
      </c>
      <c r="P14" s="156">
        <v>-1</v>
      </c>
      <c r="Q14" s="152">
        <v>63</v>
      </c>
      <c r="R14" s="155">
        <v>8</v>
      </c>
      <c r="S14" s="156">
        <v>-48</v>
      </c>
      <c r="T14" s="156">
        <v>0</v>
      </c>
      <c r="U14" s="153">
        <v>-40</v>
      </c>
      <c r="V14" s="157">
        <v>4</v>
      </c>
      <c r="W14" s="53"/>
    </row>
    <row r="15" spans="1:23" ht="15">
      <c r="A15" s="64" t="s">
        <v>470</v>
      </c>
      <c r="B15" s="155">
        <v>-59</v>
      </c>
      <c r="C15" s="156">
        <v>28</v>
      </c>
      <c r="D15" s="156">
        <v>0</v>
      </c>
      <c r="E15" s="152">
        <v>-31</v>
      </c>
      <c r="F15" s="155">
        <v>-5</v>
      </c>
      <c r="G15" s="156">
        <v>15</v>
      </c>
      <c r="H15" s="156">
        <v>0</v>
      </c>
      <c r="I15" s="152">
        <v>10</v>
      </c>
      <c r="J15" s="155">
        <v>-19</v>
      </c>
      <c r="K15" s="156">
        <v>-31</v>
      </c>
      <c r="L15" s="156">
        <v>0</v>
      </c>
      <c r="M15" s="152">
        <v>-50</v>
      </c>
      <c r="N15" s="155">
        <v>13</v>
      </c>
      <c r="O15" s="156">
        <v>0</v>
      </c>
      <c r="P15" s="156">
        <v>-1</v>
      </c>
      <c r="Q15" s="152">
        <v>12</v>
      </c>
      <c r="R15" s="155">
        <v>74</v>
      </c>
      <c r="S15" s="156">
        <v>-12</v>
      </c>
      <c r="T15" s="156">
        <v>-2</v>
      </c>
      <c r="U15" s="153">
        <v>60</v>
      </c>
      <c r="V15" s="157">
        <v>-4</v>
      </c>
      <c r="W15" s="53"/>
    </row>
    <row r="16" spans="1:23" ht="15">
      <c r="A16" s="64" t="s">
        <v>471</v>
      </c>
      <c r="B16" s="155">
        <v>-24</v>
      </c>
      <c r="C16" s="156">
        <v>-1</v>
      </c>
      <c r="D16" s="156">
        <v>-32</v>
      </c>
      <c r="E16" s="152">
        <v>-57</v>
      </c>
      <c r="F16" s="155">
        <v>19</v>
      </c>
      <c r="G16" s="156">
        <v>4</v>
      </c>
      <c r="H16" s="156">
        <v>-3</v>
      </c>
      <c r="I16" s="152">
        <v>20</v>
      </c>
      <c r="J16" s="155">
        <v>-27</v>
      </c>
      <c r="K16" s="156">
        <v>-1</v>
      </c>
      <c r="L16" s="156">
        <v>-75</v>
      </c>
      <c r="M16" s="152">
        <v>-103</v>
      </c>
      <c r="N16" s="155">
        <v>3</v>
      </c>
      <c r="O16" s="156">
        <v>7</v>
      </c>
      <c r="P16" s="156">
        <v>-5</v>
      </c>
      <c r="Q16" s="152">
        <v>5</v>
      </c>
      <c r="R16" s="155">
        <v>28</v>
      </c>
      <c r="S16" s="156">
        <v>-9</v>
      </c>
      <c r="T16" s="156">
        <v>-27</v>
      </c>
      <c r="U16" s="153">
        <v>-8</v>
      </c>
      <c r="V16" s="157">
        <v>1</v>
      </c>
      <c r="W16" s="53"/>
    </row>
    <row r="17" spans="1:23" ht="15">
      <c r="A17" s="64" t="s">
        <v>472</v>
      </c>
      <c r="B17" s="155">
        <v>-50</v>
      </c>
      <c r="C17" s="156">
        <v>-15</v>
      </c>
      <c r="D17" s="156">
        <v>-10</v>
      </c>
      <c r="E17" s="152">
        <v>-75</v>
      </c>
      <c r="F17" s="155">
        <v>25</v>
      </c>
      <c r="G17" s="156">
        <v>8</v>
      </c>
      <c r="H17" s="156">
        <v>0</v>
      </c>
      <c r="I17" s="152">
        <v>33</v>
      </c>
      <c r="J17" s="155">
        <v>-7</v>
      </c>
      <c r="K17" s="156">
        <v>-18</v>
      </c>
      <c r="L17" s="156">
        <v>-36</v>
      </c>
      <c r="M17" s="152">
        <v>-61</v>
      </c>
      <c r="N17" s="155">
        <v>44</v>
      </c>
      <c r="O17" s="156">
        <v>-4</v>
      </c>
      <c r="P17" s="156">
        <v>-2</v>
      </c>
      <c r="Q17" s="152">
        <v>38</v>
      </c>
      <c r="R17" s="155">
        <v>-11</v>
      </c>
      <c r="S17" s="156">
        <v>29</v>
      </c>
      <c r="T17" s="156">
        <v>-6</v>
      </c>
      <c r="U17" s="153">
        <v>12</v>
      </c>
      <c r="V17" s="157">
        <v>-1</v>
      </c>
      <c r="W17" s="53"/>
    </row>
    <row r="18" spans="1:23" ht="15">
      <c r="A18" s="64" t="s">
        <v>473</v>
      </c>
      <c r="B18" s="155">
        <v>-10</v>
      </c>
      <c r="C18" s="156">
        <v>-11</v>
      </c>
      <c r="D18" s="156">
        <v>-12</v>
      </c>
      <c r="E18" s="152">
        <v>-33</v>
      </c>
      <c r="F18" s="155">
        <v>27</v>
      </c>
      <c r="G18" s="156">
        <v>-1</v>
      </c>
      <c r="H18" s="156">
        <v>-1</v>
      </c>
      <c r="I18" s="152">
        <v>25</v>
      </c>
      <c r="J18" s="155">
        <v>-17</v>
      </c>
      <c r="K18" s="156">
        <v>-24</v>
      </c>
      <c r="L18" s="156">
        <v>-30</v>
      </c>
      <c r="M18" s="152">
        <v>-71</v>
      </c>
      <c r="N18" s="155">
        <v>7</v>
      </c>
      <c r="O18" s="156">
        <v>2</v>
      </c>
      <c r="P18" s="156">
        <v>-3</v>
      </c>
      <c r="Q18" s="152">
        <v>6</v>
      </c>
      <c r="R18" s="155">
        <v>-5</v>
      </c>
      <c r="S18" s="156">
        <v>34</v>
      </c>
      <c r="T18" s="156">
        <v>-4</v>
      </c>
      <c r="U18" s="153">
        <v>25</v>
      </c>
      <c r="V18" s="157">
        <v>-2</v>
      </c>
      <c r="W18" s="53"/>
    </row>
    <row r="19" spans="1:23" ht="15">
      <c r="A19" s="64" t="s">
        <v>474</v>
      </c>
      <c r="B19" s="155">
        <v>-22</v>
      </c>
      <c r="C19" s="156">
        <v>-26</v>
      </c>
      <c r="D19" s="156">
        <v>-10</v>
      </c>
      <c r="E19" s="152">
        <v>-58</v>
      </c>
      <c r="F19" s="155">
        <v>16</v>
      </c>
      <c r="G19" s="156">
        <v>10</v>
      </c>
      <c r="H19" s="156">
        <v>-1</v>
      </c>
      <c r="I19" s="152">
        <v>25</v>
      </c>
      <c r="J19" s="155">
        <v>-8</v>
      </c>
      <c r="K19" s="156">
        <v>-29</v>
      </c>
      <c r="L19" s="156">
        <v>-37</v>
      </c>
      <c r="M19" s="152">
        <v>-74</v>
      </c>
      <c r="N19" s="155">
        <v>-3</v>
      </c>
      <c r="O19" s="156">
        <v>-6</v>
      </c>
      <c r="P19" s="156">
        <v>-4</v>
      </c>
      <c r="Q19" s="152">
        <v>-13</v>
      </c>
      <c r="R19" s="155">
        <v>20</v>
      </c>
      <c r="S19" s="156">
        <v>51</v>
      </c>
      <c r="T19" s="156">
        <v>-14</v>
      </c>
      <c r="U19" s="153">
        <v>57</v>
      </c>
      <c r="V19" s="157">
        <v>-3</v>
      </c>
      <c r="W19" s="53"/>
    </row>
    <row r="20" spans="1:23" ht="15">
      <c r="A20" s="64" t="s">
        <v>475</v>
      </c>
      <c r="B20" s="155">
        <v>-19</v>
      </c>
      <c r="C20" s="156">
        <v>-25</v>
      </c>
      <c r="D20" s="156">
        <v>-13</v>
      </c>
      <c r="E20" s="152">
        <v>-57</v>
      </c>
      <c r="F20" s="155">
        <v>24</v>
      </c>
      <c r="G20" s="156">
        <v>-9</v>
      </c>
      <c r="H20" s="156">
        <v>-1</v>
      </c>
      <c r="I20" s="152">
        <v>14</v>
      </c>
      <c r="J20" s="155">
        <v>-2</v>
      </c>
      <c r="K20" s="156">
        <v>-31</v>
      </c>
      <c r="L20" s="156">
        <v>-30</v>
      </c>
      <c r="M20" s="152">
        <v>-63</v>
      </c>
      <c r="N20" s="155">
        <v>5</v>
      </c>
      <c r="O20" s="156">
        <v>-13</v>
      </c>
      <c r="P20" s="156">
        <v>-1</v>
      </c>
      <c r="Q20" s="152">
        <v>-9</v>
      </c>
      <c r="R20" s="155">
        <v>-6</v>
      </c>
      <c r="S20" s="156">
        <v>78</v>
      </c>
      <c r="T20" s="156">
        <v>-12</v>
      </c>
      <c r="U20" s="153">
        <v>60</v>
      </c>
      <c r="V20" s="157">
        <v>-2</v>
      </c>
      <c r="W20" s="53"/>
    </row>
    <row r="21" spans="1:23" ht="15">
      <c r="A21" s="64" t="s">
        <v>476</v>
      </c>
      <c r="B21" s="155">
        <v>7</v>
      </c>
      <c r="C21" s="156">
        <v>-99</v>
      </c>
      <c r="D21" s="156">
        <v>-10</v>
      </c>
      <c r="E21" s="152">
        <v>-102</v>
      </c>
      <c r="F21" s="155">
        <v>8</v>
      </c>
      <c r="G21" s="156">
        <v>0</v>
      </c>
      <c r="H21" s="156">
        <v>-1</v>
      </c>
      <c r="I21" s="152">
        <v>7</v>
      </c>
      <c r="J21" s="155">
        <v>-28</v>
      </c>
      <c r="K21" s="156">
        <v>11</v>
      </c>
      <c r="L21" s="156">
        <v>-18</v>
      </c>
      <c r="M21" s="152">
        <v>-35</v>
      </c>
      <c r="N21" s="155">
        <v>5</v>
      </c>
      <c r="O21" s="156">
        <v>40</v>
      </c>
      <c r="P21" s="156">
        <v>-1</v>
      </c>
      <c r="Q21" s="152">
        <v>44</v>
      </c>
      <c r="R21" s="155">
        <v>7</v>
      </c>
      <c r="S21" s="156">
        <v>48</v>
      </c>
      <c r="T21" s="156">
        <v>-6</v>
      </c>
      <c r="U21" s="153">
        <v>49</v>
      </c>
      <c r="V21" s="157">
        <v>1</v>
      </c>
      <c r="W21" s="53"/>
    </row>
    <row r="22" spans="1:23" ht="15">
      <c r="A22" s="64" t="s">
        <v>477</v>
      </c>
      <c r="B22" s="155">
        <v>-11</v>
      </c>
      <c r="C22" s="156">
        <v>-13</v>
      </c>
      <c r="D22" s="156">
        <v>-13</v>
      </c>
      <c r="E22" s="152">
        <v>-37</v>
      </c>
      <c r="F22" s="155">
        <v>21</v>
      </c>
      <c r="G22" s="156">
        <v>-2</v>
      </c>
      <c r="H22" s="156">
        <v>0</v>
      </c>
      <c r="I22" s="152">
        <v>19</v>
      </c>
      <c r="J22" s="155">
        <v>-9</v>
      </c>
      <c r="K22" s="156">
        <v>-26</v>
      </c>
      <c r="L22" s="156">
        <v>-23</v>
      </c>
      <c r="M22" s="152">
        <v>-58</v>
      </c>
      <c r="N22" s="155">
        <v>-7</v>
      </c>
      <c r="O22" s="156">
        <v>14</v>
      </c>
      <c r="P22" s="156">
        <v>-1</v>
      </c>
      <c r="Q22" s="152">
        <v>6</v>
      </c>
      <c r="R22" s="155">
        <v>8</v>
      </c>
      <c r="S22" s="156">
        <v>27</v>
      </c>
      <c r="T22" s="156">
        <v>-6</v>
      </c>
      <c r="U22" s="153">
        <v>29</v>
      </c>
      <c r="V22" s="157">
        <v>-2</v>
      </c>
      <c r="W22" s="53"/>
    </row>
    <row r="23" spans="1:23" ht="15">
      <c r="A23" s="64" t="s">
        <v>478</v>
      </c>
      <c r="B23" s="155">
        <v>-5</v>
      </c>
      <c r="C23" s="156">
        <v>23</v>
      </c>
      <c r="D23" s="156">
        <v>-16</v>
      </c>
      <c r="E23" s="152">
        <v>2</v>
      </c>
      <c r="F23" s="155">
        <v>-4</v>
      </c>
      <c r="G23" s="156">
        <v>-7</v>
      </c>
      <c r="H23" s="156">
        <v>-1</v>
      </c>
      <c r="I23" s="152">
        <v>-12</v>
      </c>
      <c r="J23" s="155">
        <v>-1</v>
      </c>
      <c r="K23" s="156">
        <v>-17</v>
      </c>
      <c r="L23" s="156">
        <v>-34</v>
      </c>
      <c r="M23" s="152">
        <v>-52</v>
      </c>
      <c r="N23" s="155">
        <v>-20</v>
      </c>
      <c r="O23" s="156">
        <v>5</v>
      </c>
      <c r="P23" s="156">
        <v>-6</v>
      </c>
      <c r="Q23" s="152">
        <v>-21</v>
      </c>
      <c r="R23" s="155">
        <v>24</v>
      </c>
      <c r="S23" s="156">
        <v>-4</v>
      </c>
      <c r="T23" s="156">
        <v>-3</v>
      </c>
      <c r="U23" s="153">
        <v>17</v>
      </c>
      <c r="V23" s="157">
        <v>6</v>
      </c>
      <c r="W23" s="53"/>
    </row>
    <row r="24" spans="1:23" ht="15">
      <c r="A24" s="64" t="s">
        <v>479</v>
      </c>
      <c r="B24" s="155">
        <v>-14</v>
      </c>
      <c r="C24" s="156">
        <v>-34</v>
      </c>
      <c r="D24" s="156">
        <v>-14</v>
      </c>
      <c r="E24" s="152">
        <v>-62</v>
      </c>
      <c r="F24" s="155">
        <v>9</v>
      </c>
      <c r="G24" s="156">
        <v>-16</v>
      </c>
      <c r="H24" s="156">
        <v>1</v>
      </c>
      <c r="I24" s="152">
        <v>-6</v>
      </c>
      <c r="J24" s="155">
        <v>-2</v>
      </c>
      <c r="K24" s="156">
        <v>14</v>
      </c>
      <c r="L24" s="156">
        <v>-35</v>
      </c>
      <c r="M24" s="152">
        <v>-23</v>
      </c>
      <c r="N24" s="155">
        <v>9</v>
      </c>
      <c r="O24" s="156">
        <v>5</v>
      </c>
      <c r="P24" s="156">
        <v>-8</v>
      </c>
      <c r="Q24" s="152">
        <v>6</v>
      </c>
      <c r="R24" s="155">
        <v>1</v>
      </c>
      <c r="S24" s="156">
        <v>31</v>
      </c>
      <c r="T24" s="156">
        <v>-10</v>
      </c>
      <c r="U24" s="153">
        <v>22</v>
      </c>
      <c r="V24" s="157">
        <v>-3</v>
      </c>
      <c r="W24" s="53"/>
    </row>
    <row r="25" spans="1:23" ht="15">
      <c r="A25" s="64" t="s">
        <v>480</v>
      </c>
      <c r="B25" s="155">
        <v>3</v>
      </c>
      <c r="C25" s="156">
        <v>-19</v>
      </c>
      <c r="D25" s="156">
        <v>-18</v>
      </c>
      <c r="E25" s="152">
        <v>-34</v>
      </c>
      <c r="F25" s="155">
        <v>-3</v>
      </c>
      <c r="G25" s="156">
        <v>6</v>
      </c>
      <c r="H25" s="156">
        <v>-4</v>
      </c>
      <c r="I25" s="152">
        <v>-1</v>
      </c>
      <c r="J25" s="155">
        <v>-10</v>
      </c>
      <c r="K25" s="156">
        <v>-23</v>
      </c>
      <c r="L25" s="156">
        <v>-26</v>
      </c>
      <c r="M25" s="152">
        <v>-59</v>
      </c>
      <c r="N25" s="155">
        <v>-8</v>
      </c>
      <c r="O25" s="156">
        <v>13</v>
      </c>
      <c r="P25" s="156">
        <v>0</v>
      </c>
      <c r="Q25" s="152">
        <v>5</v>
      </c>
      <c r="R25" s="155">
        <v>14</v>
      </c>
      <c r="S25" s="156">
        <v>23</v>
      </c>
      <c r="T25" s="156">
        <v>-7</v>
      </c>
      <c r="U25" s="153">
        <v>30</v>
      </c>
      <c r="V25" s="157">
        <v>4</v>
      </c>
      <c r="W25" s="53"/>
    </row>
    <row r="26" spans="1:23" ht="15">
      <c r="A26" s="64" t="s">
        <v>481</v>
      </c>
      <c r="B26" s="155">
        <v>2</v>
      </c>
      <c r="C26" s="156">
        <v>-49</v>
      </c>
      <c r="D26" s="156">
        <v>-17</v>
      </c>
      <c r="E26" s="152">
        <v>-64</v>
      </c>
      <c r="F26" s="155">
        <v>19</v>
      </c>
      <c r="G26" s="156">
        <v>-6</v>
      </c>
      <c r="H26" s="156">
        <v>-1</v>
      </c>
      <c r="I26" s="152">
        <v>12</v>
      </c>
      <c r="J26" s="155">
        <v>-6</v>
      </c>
      <c r="K26" s="156">
        <v>-18</v>
      </c>
      <c r="L26" s="156">
        <v>-23</v>
      </c>
      <c r="M26" s="152">
        <v>-47</v>
      </c>
      <c r="N26" s="155">
        <v>-11</v>
      </c>
      <c r="O26" s="156">
        <v>35</v>
      </c>
      <c r="P26" s="156">
        <v>-8</v>
      </c>
      <c r="Q26" s="152">
        <v>16</v>
      </c>
      <c r="R26" s="155">
        <v>-1</v>
      </c>
      <c r="S26" s="156">
        <v>38</v>
      </c>
      <c r="T26" s="156">
        <v>-9</v>
      </c>
      <c r="U26" s="153">
        <v>28</v>
      </c>
      <c r="V26" s="157">
        <v>-3</v>
      </c>
      <c r="W26" s="53"/>
    </row>
    <row r="27" spans="1:23" ht="15">
      <c r="A27" s="64" t="s">
        <v>482</v>
      </c>
      <c r="B27" s="155">
        <v>-12</v>
      </c>
      <c r="C27" s="156">
        <v>-40</v>
      </c>
      <c r="D27" s="156">
        <v>-12</v>
      </c>
      <c r="E27" s="152">
        <v>-64</v>
      </c>
      <c r="F27" s="155">
        <v>9</v>
      </c>
      <c r="G27" s="156">
        <v>26</v>
      </c>
      <c r="H27" s="156">
        <v>0</v>
      </c>
      <c r="I27" s="152">
        <v>35</v>
      </c>
      <c r="J27" s="155">
        <v>1</v>
      </c>
      <c r="K27" s="156">
        <v>-26</v>
      </c>
      <c r="L27" s="156">
        <v>-21</v>
      </c>
      <c r="M27" s="152">
        <v>-46</v>
      </c>
      <c r="N27" s="155">
        <v>-22</v>
      </c>
      <c r="O27" s="156">
        <v>-8</v>
      </c>
      <c r="P27" s="156">
        <v>-3</v>
      </c>
      <c r="Q27" s="152">
        <v>-33</v>
      </c>
      <c r="R27" s="155">
        <v>23</v>
      </c>
      <c r="S27" s="156">
        <v>48</v>
      </c>
      <c r="T27" s="156">
        <v>-14</v>
      </c>
      <c r="U27" s="153">
        <v>57</v>
      </c>
      <c r="V27" s="157">
        <v>1</v>
      </c>
      <c r="W27" s="53"/>
    </row>
    <row r="28" spans="1:23" ht="15">
      <c r="A28" s="64" t="s">
        <v>381</v>
      </c>
      <c r="B28" s="155">
        <v>27</v>
      </c>
      <c r="C28" s="156">
        <v>-34</v>
      </c>
      <c r="D28" s="156">
        <v>-17</v>
      </c>
      <c r="E28" s="152">
        <v>-24</v>
      </c>
      <c r="F28" s="155">
        <v>-2</v>
      </c>
      <c r="G28" s="156">
        <v>-9</v>
      </c>
      <c r="H28" s="156">
        <v>-3</v>
      </c>
      <c r="I28" s="152">
        <v>-14</v>
      </c>
      <c r="J28" s="155">
        <v>22</v>
      </c>
      <c r="K28" s="156">
        <v>-3</v>
      </c>
      <c r="L28" s="156">
        <v>-26</v>
      </c>
      <c r="M28" s="152">
        <v>-7</v>
      </c>
      <c r="N28" s="155">
        <v>4</v>
      </c>
      <c r="O28" s="156">
        <v>2</v>
      </c>
      <c r="P28" s="156">
        <v>-1</v>
      </c>
      <c r="Q28" s="152">
        <v>5</v>
      </c>
      <c r="R28" s="155">
        <v>-56</v>
      </c>
      <c r="S28" s="156">
        <v>44</v>
      </c>
      <c r="T28" s="156">
        <v>-9</v>
      </c>
      <c r="U28" s="153">
        <v>-21</v>
      </c>
      <c r="V28" s="157">
        <v>5</v>
      </c>
      <c r="W28" s="53"/>
    </row>
    <row r="29" spans="1:23" ht="15">
      <c r="A29" s="64" t="s">
        <v>368</v>
      </c>
      <c r="B29" s="155">
        <v>1</v>
      </c>
      <c r="C29" s="156">
        <v>-25</v>
      </c>
      <c r="D29" s="156">
        <v>-25</v>
      </c>
      <c r="E29" s="152">
        <v>-49</v>
      </c>
      <c r="F29" s="155">
        <v>8</v>
      </c>
      <c r="G29" s="156">
        <v>-21</v>
      </c>
      <c r="H29" s="156">
        <v>-4</v>
      </c>
      <c r="I29" s="152">
        <v>-17</v>
      </c>
      <c r="J29" s="155">
        <v>13</v>
      </c>
      <c r="K29" s="156">
        <v>-9</v>
      </c>
      <c r="L29" s="156">
        <v>-31</v>
      </c>
      <c r="M29" s="152">
        <v>-27</v>
      </c>
      <c r="N29" s="155">
        <v>-11</v>
      </c>
      <c r="O29" s="156">
        <v>23</v>
      </c>
      <c r="P29" s="156">
        <v>-2</v>
      </c>
      <c r="Q29" s="152">
        <v>10</v>
      </c>
      <c r="R29" s="155">
        <v>-16</v>
      </c>
      <c r="S29" s="156">
        <v>32</v>
      </c>
      <c r="T29" s="156">
        <v>-13</v>
      </c>
      <c r="U29" s="153">
        <v>3</v>
      </c>
      <c r="V29" s="157">
        <v>5</v>
      </c>
      <c r="W29" s="53"/>
    </row>
    <row r="30" spans="1:23" ht="15">
      <c r="A30" s="64" t="s">
        <v>483</v>
      </c>
      <c r="B30" s="155">
        <v>23</v>
      </c>
      <c r="C30" s="156">
        <v>-71</v>
      </c>
      <c r="D30" s="156">
        <v>-20</v>
      </c>
      <c r="E30" s="152">
        <v>-68</v>
      </c>
      <c r="F30" s="155">
        <v>1</v>
      </c>
      <c r="G30" s="156">
        <v>-2</v>
      </c>
      <c r="H30" s="156">
        <v>-1</v>
      </c>
      <c r="I30" s="152">
        <v>-2</v>
      </c>
      <c r="J30" s="155">
        <v>17</v>
      </c>
      <c r="K30" s="156">
        <v>-7</v>
      </c>
      <c r="L30" s="156">
        <v>-19</v>
      </c>
      <c r="M30" s="152">
        <v>-9</v>
      </c>
      <c r="N30" s="155">
        <v>-3</v>
      </c>
      <c r="O30" s="156">
        <v>48</v>
      </c>
      <c r="P30" s="156">
        <v>-6</v>
      </c>
      <c r="Q30" s="152">
        <v>39</v>
      </c>
      <c r="R30" s="155">
        <v>-38</v>
      </c>
      <c r="S30" s="156">
        <v>32</v>
      </c>
      <c r="T30" s="158">
        <v>-18</v>
      </c>
      <c r="U30" s="159">
        <v>-24</v>
      </c>
      <c r="V30" s="157">
        <v>0</v>
      </c>
      <c r="W30" s="53"/>
    </row>
    <row r="31" spans="1:23" ht="15">
      <c r="A31" s="64" t="s">
        <v>484</v>
      </c>
      <c r="B31" s="155">
        <v>49</v>
      </c>
      <c r="C31" s="156">
        <v>-72</v>
      </c>
      <c r="D31" s="156">
        <v>-29</v>
      </c>
      <c r="E31" s="152">
        <v>-52</v>
      </c>
      <c r="F31" s="155">
        <v>-2</v>
      </c>
      <c r="G31" s="156">
        <v>6</v>
      </c>
      <c r="H31" s="156">
        <v>-4</v>
      </c>
      <c r="I31" s="152">
        <v>0</v>
      </c>
      <c r="J31" s="155">
        <v>19</v>
      </c>
      <c r="K31" s="156">
        <v>-25</v>
      </c>
      <c r="L31" s="156">
        <v>-29</v>
      </c>
      <c r="M31" s="152">
        <v>-35</v>
      </c>
      <c r="N31" s="155">
        <v>-7</v>
      </c>
      <c r="O31" s="156">
        <v>21</v>
      </c>
      <c r="P31" s="156">
        <v>-3</v>
      </c>
      <c r="Q31" s="152">
        <v>11</v>
      </c>
      <c r="R31" s="155">
        <v>-59</v>
      </c>
      <c r="S31" s="156">
        <v>70</v>
      </c>
      <c r="T31" s="156">
        <v>-9</v>
      </c>
      <c r="U31" s="153">
        <v>2</v>
      </c>
      <c r="V31" s="157">
        <v>0</v>
      </c>
      <c r="W31" s="53"/>
    </row>
    <row r="32" spans="1:23" ht="15">
      <c r="A32" s="64" t="s">
        <v>485</v>
      </c>
      <c r="B32" s="155">
        <v>12</v>
      </c>
      <c r="C32" s="156">
        <v>-73</v>
      </c>
      <c r="D32" s="156">
        <v>-31</v>
      </c>
      <c r="E32" s="152">
        <v>-92</v>
      </c>
      <c r="F32" s="155">
        <v>17</v>
      </c>
      <c r="G32" s="156">
        <v>-10</v>
      </c>
      <c r="H32" s="156">
        <v>-4</v>
      </c>
      <c r="I32" s="152">
        <v>3</v>
      </c>
      <c r="J32" s="155">
        <v>20</v>
      </c>
      <c r="K32" s="156">
        <v>-6</v>
      </c>
      <c r="L32" s="156">
        <v>-26</v>
      </c>
      <c r="M32" s="152">
        <v>-12</v>
      </c>
      <c r="N32" s="155">
        <v>6</v>
      </c>
      <c r="O32" s="156">
        <v>45</v>
      </c>
      <c r="P32" s="156">
        <v>-3</v>
      </c>
      <c r="Q32" s="152">
        <v>48</v>
      </c>
      <c r="R32" s="155">
        <v>-64</v>
      </c>
      <c r="S32" s="156">
        <v>44</v>
      </c>
      <c r="T32" s="156">
        <v>-17</v>
      </c>
      <c r="U32" s="153">
        <v>-37</v>
      </c>
      <c r="V32" s="157">
        <v>9</v>
      </c>
      <c r="W32" s="53"/>
    </row>
    <row r="33" spans="1:23" ht="15">
      <c r="A33" s="64" t="s">
        <v>486</v>
      </c>
      <c r="B33" s="155">
        <v>12</v>
      </c>
      <c r="C33" s="156">
        <v>-90</v>
      </c>
      <c r="D33" s="156">
        <v>-37</v>
      </c>
      <c r="E33" s="152">
        <v>-115</v>
      </c>
      <c r="F33" s="155">
        <v>-5</v>
      </c>
      <c r="G33" s="156">
        <v>-14</v>
      </c>
      <c r="H33" s="156">
        <v>-3</v>
      </c>
      <c r="I33" s="152">
        <v>-22</v>
      </c>
      <c r="J33" s="155">
        <v>2</v>
      </c>
      <c r="K33" s="156">
        <v>17</v>
      </c>
      <c r="L33" s="156">
        <v>-28</v>
      </c>
      <c r="M33" s="152">
        <v>-9</v>
      </c>
      <c r="N33" s="155">
        <v>-23</v>
      </c>
      <c r="O33" s="156">
        <v>31</v>
      </c>
      <c r="P33" s="156">
        <v>-5</v>
      </c>
      <c r="Q33" s="152">
        <v>3</v>
      </c>
      <c r="R33" s="155">
        <v>-15</v>
      </c>
      <c r="S33" s="156">
        <v>56</v>
      </c>
      <c r="T33" s="156">
        <v>-14</v>
      </c>
      <c r="U33" s="153">
        <v>27</v>
      </c>
      <c r="V33" s="157">
        <v>29</v>
      </c>
      <c r="W33" s="53"/>
    </row>
    <row r="34" spans="1:23" ht="15">
      <c r="A34" s="64" t="s">
        <v>487</v>
      </c>
      <c r="B34" s="155">
        <v>16</v>
      </c>
      <c r="C34" s="156">
        <v>-49</v>
      </c>
      <c r="D34" s="156">
        <v>-80</v>
      </c>
      <c r="E34" s="152">
        <v>-113</v>
      </c>
      <c r="F34" s="155">
        <v>-12</v>
      </c>
      <c r="G34" s="156">
        <v>-4</v>
      </c>
      <c r="H34" s="156">
        <v>-5</v>
      </c>
      <c r="I34" s="152">
        <v>-21</v>
      </c>
      <c r="J34" s="155">
        <v>22</v>
      </c>
      <c r="K34" s="156">
        <v>2</v>
      </c>
      <c r="L34" s="156">
        <v>-44</v>
      </c>
      <c r="M34" s="152">
        <v>-20</v>
      </c>
      <c r="N34" s="155">
        <v>-14</v>
      </c>
      <c r="O34" s="156">
        <v>8</v>
      </c>
      <c r="P34" s="156">
        <v>-13</v>
      </c>
      <c r="Q34" s="152">
        <v>-19</v>
      </c>
      <c r="R34" s="155">
        <v>-33</v>
      </c>
      <c r="S34" s="156">
        <v>43</v>
      </c>
      <c r="T34" s="156">
        <v>-40</v>
      </c>
      <c r="U34" s="153">
        <v>-30</v>
      </c>
      <c r="V34" s="157">
        <v>21</v>
      </c>
      <c r="W34" s="53"/>
    </row>
    <row r="35" spans="1:23" ht="15">
      <c r="A35" s="64" t="s">
        <v>443</v>
      </c>
      <c r="B35" s="155">
        <v>19</v>
      </c>
      <c r="C35" s="156">
        <v>-62</v>
      </c>
      <c r="D35" s="156">
        <v>-125</v>
      </c>
      <c r="E35" s="152">
        <v>-168</v>
      </c>
      <c r="F35" s="155">
        <v>-10</v>
      </c>
      <c r="G35" s="156">
        <v>6</v>
      </c>
      <c r="H35" s="156">
        <v>-14</v>
      </c>
      <c r="I35" s="152">
        <v>-18</v>
      </c>
      <c r="J35" s="155">
        <v>15</v>
      </c>
      <c r="K35" s="156">
        <v>-14</v>
      </c>
      <c r="L35" s="156">
        <v>-43</v>
      </c>
      <c r="M35" s="152">
        <v>-42</v>
      </c>
      <c r="N35" s="155">
        <v>5</v>
      </c>
      <c r="O35" s="156">
        <v>27</v>
      </c>
      <c r="P35" s="156">
        <v>-18</v>
      </c>
      <c r="Q35" s="152">
        <v>14</v>
      </c>
      <c r="R35" s="155">
        <v>-38</v>
      </c>
      <c r="S35" s="156">
        <v>43</v>
      </c>
      <c r="T35" s="156">
        <v>-31</v>
      </c>
      <c r="U35" s="153">
        <v>-26</v>
      </c>
      <c r="V35" s="157">
        <v>9</v>
      </c>
      <c r="W35" s="53"/>
    </row>
    <row r="36" spans="1:23" ht="15">
      <c r="A36" s="64" t="s">
        <v>488</v>
      </c>
      <c r="B36" s="155">
        <v>5</v>
      </c>
      <c r="C36" s="156">
        <v>-52</v>
      </c>
      <c r="D36" s="156">
        <v>-39</v>
      </c>
      <c r="E36" s="152">
        <v>-86</v>
      </c>
      <c r="F36" s="155">
        <v>10</v>
      </c>
      <c r="G36" s="156">
        <v>-8</v>
      </c>
      <c r="H36" s="156">
        <v>-8</v>
      </c>
      <c r="I36" s="152">
        <v>-6</v>
      </c>
      <c r="J36" s="155">
        <v>21</v>
      </c>
      <c r="K36" s="156">
        <v>-10</v>
      </c>
      <c r="L36" s="156">
        <v>-32</v>
      </c>
      <c r="M36" s="152">
        <v>-21</v>
      </c>
      <c r="N36" s="155">
        <v>10</v>
      </c>
      <c r="O36" s="156">
        <v>28</v>
      </c>
      <c r="P36" s="156">
        <v>-9</v>
      </c>
      <c r="Q36" s="152">
        <v>29</v>
      </c>
      <c r="R36" s="155">
        <v>-28</v>
      </c>
      <c r="S36" s="156">
        <v>42</v>
      </c>
      <c r="T36" s="156">
        <v>-22</v>
      </c>
      <c r="U36" s="153">
        <v>-8</v>
      </c>
      <c r="V36" s="157">
        <v>-18</v>
      </c>
      <c r="W36" s="53"/>
    </row>
    <row r="37" spans="1:23" ht="15">
      <c r="A37" s="64" t="s">
        <v>489</v>
      </c>
      <c r="B37" s="155">
        <v>3</v>
      </c>
      <c r="C37" s="156">
        <v>-26</v>
      </c>
      <c r="D37" s="156">
        <v>-51</v>
      </c>
      <c r="E37" s="152">
        <v>-74</v>
      </c>
      <c r="F37" s="155">
        <v>18</v>
      </c>
      <c r="G37" s="156">
        <v>1</v>
      </c>
      <c r="H37" s="156">
        <v>-7</v>
      </c>
      <c r="I37" s="152">
        <v>12</v>
      </c>
      <c r="J37" s="155">
        <v>22</v>
      </c>
      <c r="K37" s="156">
        <v>10</v>
      </c>
      <c r="L37" s="156">
        <v>-19</v>
      </c>
      <c r="M37" s="152">
        <v>13</v>
      </c>
      <c r="N37" s="155">
        <v>-7</v>
      </c>
      <c r="O37" s="156">
        <v>14</v>
      </c>
      <c r="P37" s="156">
        <v>-12</v>
      </c>
      <c r="Q37" s="152">
        <v>-5</v>
      </c>
      <c r="R37" s="155">
        <v>-20</v>
      </c>
      <c r="S37" s="156">
        <v>1</v>
      </c>
      <c r="T37" s="156">
        <v>-7</v>
      </c>
      <c r="U37" s="153">
        <v>-26</v>
      </c>
      <c r="V37" s="157">
        <v>-16</v>
      </c>
      <c r="W37" s="53"/>
    </row>
    <row r="38" spans="1:23" ht="15">
      <c r="A38" s="64" t="s">
        <v>490</v>
      </c>
      <c r="B38" s="155">
        <v>29</v>
      </c>
      <c r="C38" s="156">
        <v>-16</v>
      </c>
      <c r="D38" s="156">
        <v>-22</v>
      </c>
      <c r="E38" s="152">
        <v>-9</v>
      </c>
      <c r="F38" s="155">
        <v>17</v>
      </c>
      <c r="G38" s="156">
        <v>-10</v>
      </c>
      <c r="H38" s="156">
        <v>-13</v>
      </c>
      <c r="I38" s="152">
        <v>-6</v>
      </c>
      <c r="J38" s="155">
        <v>0</v>
      </c>
      <c r="K38" s="156">
        <v>-11</v>
      </c>
      <c r="L38" s="156">
        <v>-29</v>
      </c>
      <c r="M38" s="152">
        <v>-40</v>
      </c>
      <c r="N38" s="155">
        <v>-9</v>
      </c>
      <c r="O38" s="156">
        <v>0</v>
      </c>
      <c r="P38" s="156">
        <v>-8</v>
      </c>
      <c r="Q38" s="152">
        <v>-17</v>
      </c>
      <c r="R38" s="155">
        <v>-9</v>
      </c>
      <c r="S38" s="156">
        <v>37</v>
      </c>
      <c r="T38" s="156">
        <v>-24</v>
      </c>
      <c r="U38" s="153">
        <v>4</v>
      </c>
      <c r="V38" s="157">
        <v>-28</v>
      </c>
      <c r="W38" s="53"/>
    </row>
    <row r="39" spans="1:23" ht="15">
      <c r="A39" s="53" t="s">
        <v>491</v>
      </c>
      <c r="B39" s="125">
        <v>-2</v>
      </c>
      <c r="C39" s="125">
        <v>-16</v>
      </c>
      <c r="D39" s="125">
        <v>-23</v>
      </c>
      <c r="E39" s="126">
        <v>-41</v>
      </c>
      <c r="F39" s="125">
        <v>24</v>
      </c>
      <c r="G39" s="125">
        <v>-3</v>
      </c>
      <c r="H39" s="125">
        <v>-6</v>
      </c>
      <c r="I39" s="126">
        <v>15</v>
      </c>
      <c r="J39" s="125">
        <v>16</v>
      </c>
      <c r="K39" s="125">
        <v>-14</v>
      </c>
      <c r="L39" s="125">
        <v>-24</v>
      </c>
      <c r="M39" s="126">
        <v>-22</v>
      </c>
      <c r="N39" s="125">
        <v>-4</v>
      </c>
      <c r="O39" s="125">
        <v>17</v>
      </c>
      <c r="P39" s="125">
        <v>-18</v>
      </c>
      <c r="Q39" s="126">
        <v>-5</v>
      </c>
      <c r="R39" s="125">
        <v>-25</v>
      </c>
      <c r="S39" s="125">
        <v>16</v>
      </c>
      <c r="T39" s="125">
        <v>-47</v>
      </c>
      <c r="U39" s="126">
        <v>-56</v>
      </c>
      <c r="V39" s="157">
        <v>-9</v>
      </c>
      <c r="W39" s="53"/>
    </row>
    <row r="40" spans="1:23" ht="15">
      <c r="A40" s="53" t="s">
        <v>492</v>
      </c>
      <c r="B40" s="125">
        <v>10</v>
      </c>
      <c r="C40" s="125">
        <v>-46</v>
      </c>
      <c r="D40" s="125">
        <v>-13</v>
      </c>
      <c r="E40" s="126">
        <v>-49</v>
      </c>
      <c r="F40" s="125">
        <v>17</v>
      </c>
      <c r="G40" s="125">
        <v>11</v>
      </c>
      <c r="H40" s="125">
        <v>-1</v>
      </c>
      <c r="I40" s="126">
        <v>27</v>
      </c>
      <c r="J40" s="125">
        <v>-2</v>
      </c>
      <c r="K40" s="125">
        <v>-8</v>
      </c>
      <c r="L40" s="125">
        <v>-13</v>
      </c>
      <c r="M40" s="126">
        <v>-23</v>
      </c>
      <c r="N40" s="125">
        <v>-25</v>
      </c>
      <c r="O40" s="125">
        <v>-12</v>
      </c>
      <c r="P40" s="125">
        <v>-2</v>
      </c>
      <c r="Q40" s="126">
        <v>-39</v>
      </c>
      <c r="R40" s="125">
        <v>-1</v>
      </c>
      <c r="S40" s="125">
        <v>55</v>
      </c>
      <c r="T40" s="125">
        <v>-12</v>
      </c>
      <c r="U40" s="126">
        <v>42</v>
      </c>
      <c r="V40" s="157">
        <v>1</v>
      </c>
      <c r="W40" s="53"/>
    </row>
    <row r="41" spans="1:23" ht="15">
      <c r="A41" s="53" t="s">
        <v>493</v>
      </c>
      <c r="B41" s="125">
        <v>8</v>
      </c>
      <c r="C41" s="125">
        <v>-27</v>
      </c>
      <c r="D41" s="125">
        <v>-15</v>
      </c>
      <c r="E41" s="126">
        <v>-34</v>
      </c>
      <c r="F41" s="125">
        <v>22</v>
      </c>
      <c r="G41" s="125">
        <v>3</v>
      </c>
      <c r="H41" s="125">
        <v>0</v>
      </c>
      <c r="I41" s="126">
        <v>25</v>
      </c>
      <c r="J41" s="125">
        <v>40</v>
      </c>
      <c r="K41" s="125">
        <v>11</v>
      </c>
      <c r="L41" s="125">
        <v>-14</v>
      </c>
      <c r="M41" s="126">
        <v>37</v>
      </c>
      <c r="N41" s="125">
        <v>-17</v>
      </c>
      <c r="O41" s="125">
        <v>22</v>
      </c>
      <c r="P41" s="125">
        <v>0</v>
      </c>
      <c r="Q41" s="126">
        <v>5</v>
      </c>
      <c r="R41" s="125">
        <v>-47</v>
      </c>
      <c r="S41" s="125">
        <v>-9</v>
      </c>
      <c r="T41" s="125">
        <v>-10</v>
      </c>
      <c r="U41" s="126">
        <v>-66</v>
      </c>
      <c r="V41" s="157">
        <v>-6</v>
      </c>
      <c r="W41" s="53"/>
    </row>
    <row r="42" spans="1:23" ht="15">
      <c r="A42" s="161"/>
      <c r="B42" s="125"/>
      <c r="C42" s="125"/>
      <c r="D42" s="125"/>
      <c r="E42" s="126"/>
      <c r="F42" s="125"/>
      <c r="G42" s="125"/>
      <c r="H42" s="125"/>
      <c r="I42" s="126"/>
      <c r="J42" s="125"/>
      <c r="K42" s="125"/>
      <c r="L42" s="125"/>
      <c r="M42" s="126"/>
      <c r="N42" s="125"/>
      <c r="O42" s="125"/>
      <c r="P42" s="125"/>
      <c r="Q42" s="126"/>
      <c r="R42" s="125"/>
      <c r="S42" s="125"/>
      <c r="T42" s="125"/>
      <c r="U42" s="126"/>
      <c r="V42" s="160"/>
      <c r="W42" s="53"/>
    </row>
    <row r="43" spans="1:23" ht="15">
      <c r="A43" s="53" t="s">
        <v>512</v>
      </c>
      <c r="B43" s="125">
        <v>-558</v>
      </c>
      <c r="C43" s="125">
        <v>-925</v>
      </c>
      <c r="D43" s="125">
        <v>-720</v>
      </c>
      <c r="E43" s="126">
        <v>-2203</v>
      </c>
      <c r="F43" s="125">
        <v>289</v>
      </c>
      <c r="G43" s="125">
        <v>-2</v>
      </c>
      <c r="H43" s="125">
        <v>-86</v>
      </c>
      <c r="I43" s="126">
        <v>201</v>
      </c>
      <c r="J43" s="125">
        <v>300</v>
      </c>
      <c r="K43" s="125">
        <v>-322</v>
      </c>
      <c r="L43" s="125">
        <v>-770</v>
      </c>
      <c r="M43" s="126">
        <v>-792</v>
      </c>
      <c r="N43" s="125">
        <v>161</v>
      </c>
      <c r="O43" s="125">
        <v>353</v>
      </c>
      <c r="P43" s="125">
        <v>-147</v>
      </c>
      <c r="Q43" s="126">
        <v>367</v>
      </c>
      <c r="R43" s="125">
        <v>-200</v>
      </c>
      <c r="S43" s="125">
        <v>896</v>
      </c>
      <c r="T43" s="125">
        <v>-394</v>
      </c>
      <c r="U43" s="126">
        <v>302</v>
      </c>
      <c r="V43" s="160">
        <v>8</v>
      </c>
      <c r="W43" s="53"/>
    </row>
    <row r="44" spans="1:23" ht="15">
      <c r="A44" s="53"/>
      <c r="B44" s="125"/>
      <c r="C44" s="125"/>
      <c r="D44" s="125"/>
      <c r="E44" s="126"/>
      <c r="F44" s="125"/>
      <c r="G44" s="125"/>
      <c r="H44" s="125"/>
      <c r="I44" s="126"/>
      <c r="J44" s="125"/>
      <c r="K44" s="125"/>
      <c r="L44" s="125"/>
      <c r="M44" s="126"/>
      <c r="N44" s="125"/>
      <c r="O44" s="125"/>
      <c r="P44" s="125"/>
      <c r="Q44" s="126"/>
      <c r="R44" s="125"/>
      <c r="S44" s="125"/>
      <c r="T44" s="125"/>
      <c r="U44" s="126"/>
      <c r="V44" s="126"/>
      <c r="W44" s="53"/>
    </row>
    <row r="45" spans="1:23" ht="15">
      <c r="A45" s="53"/>
      <c r="B45" s="125"/>
      <c r="C45" s="125"/>
      <c r="D45" s="125"/>
      <c r="E45" s="126"/>
      <c r="F45" s="125"/>
      <c r="G45" s="125"/>
      <c r="H45" s="125"/>
      <c r="I45" s="126"/>
      <c r="J45" s="125"/>
      <c r="K45" s="125"/>
      <c r="L45" s="125"/>
      <c r="M45" s="126"/>
      <c r="N45" s="125"/>
      <c r="O45" s="125"/>
      <c r="P45" s="125"/>
      <c r="Q45" s="126"/>
      <c r="R45" s="125"/>
      <c r="S45" s="125"/>
      <c r="T45" s="125"/>
      <c r="U45" s="126"/>
      <c r="V45" s="126"/>
      <c r="W45" s="53"/>
    </row>
    <row r="46" spans="1:23" ht="15">
      <c r="A46" s="53"/>
      <c r="B46" s="125"/>
      <c r="C46" s="125"/>
      <c r="D46" s="125"/>
      <c r="E46" s="126"/>
      <c r="F46" s="125"/>
      <c r="G46" s="125"/>
      <c r="H46" s="125"/>
      <c r="I46" s="126"/>
      <c r="J46" s="125"/>
      <c r="K46" s="125"/>
      <c r="L46" s="125"/>
      <c r="M46" s="126"/>
      <c r="N46" s="125"/>
      <c r="O46" s="125"/>
      <c r="P46" s="125"/>
      <c r="Q46" s="126"/>
      <c r="R46" s="125"/>
      <c r="S46" s="125"/>
      <c r="T46" s="125"/>
      <c r="U46" s="126"/>
      <c r="V46" s="126"/>
      <c r="W46" s="53"/>
    </row>
    <row r="47" spans="1:23" ht="15">
      <c r="A47" s="53"/>
      <c r="B47" s="125"/>
      <c r="C47" s="125"/>
      <c r="D47" s="125"/>
      <c r="E47" s="126"/>
      <c r="F47" s="125"/>
      <c r="G47" s="125"/>
      <c r="H47" s="125"/>
      <c r="I47" s="126"/>
      <c r="J47" s="125"/>
      <c r="K47" s="125"/>
      <c r="L47" s="125"/>
      <c r="M47" s="126"/>
      <c r="N47" s="125"/>
      <c r="O47" s="125"/>
      <c r="P47" s="125"/>
      <c r="Q47" s="126"/>
      <c r="R47" s="125"/>
      <c r="S47" s="125"/>
      <c r="T47" s="125"/>
      <c r="U47" s="126"/>
      <c r="V47" s="126"/>
      <c r="W47" s="53"/>
    </row>
    <row r="48" spans="1:23" ht="15">
      <c r="A48" s="65"/>
      <c r="C48" s="125"/>
      <c r="D48" s="125"/>
      <c r="E48" s="126"/>
      <c r="F48" s="125"/>
      <c r="G48" s="125"/>
      <c r="H48" s="125"/>
      <c r="I48" s="126"/>
      <c r="J48" s="125"/>
      <c r="K48" s="125"/>
      <c r="L48" s="125"/>
      <c r="M48" s="126"/>
      <c r="N48" s="125"/>
      <c r="O48" s="125"/>
      <c r="P48" s="125"/>
      <c r="Q48" s="126"/>
      <c r="R48" s="125"/>
      <c r="S48" s="125"/>
      <c r="T48" s="125"/>
      <c r="U48" s="126"/>
      <c r="V48" s="126"/>
      <c r="W48" s="53"/>
    </row>
    <row r="49" spans="1:23" ht="15">
      <c r="A49" s="53"/>
      <c r="B49" s="125"/>
      <c r="C49" s="125"/>
      <c r="D49" s="125"/>
      <c r="E49" s="126"/>
      <c r="F49" s="125"/>
      <c r="G49" s="125"/>
      <c r="H49" s="125"/>
      <c r="I49" s="126"/>
      <c r="J49" s="125"/>
      <c r="K49" s="125"/>
      <c r="L49" s="125"/>
      <c r="M49" s="126"/>
      <c r="N49" s="125"/>
      <c r="O49" s="125"/>
      <c r="P49" s="125"/>
      <c r="Q49" s="126"/>
      <c r="R49" s="125"/>
      <c r="S49" s="125"/>
      <c r="T49" s="125"/>
      <c r="U49" s="126"/>
      <c r="V49" s="126"/>
      <c r="W49" s="53"/>
    </row>
    <row r="50" spans="1:23" ht="15">
      <c r="A50" s="65"/>
      <c r="B50" s="125"/>
      <c r="C50" s="125"/>
      <c r="D50" s="125"/>
      <c r="E50" s="126"/>
      <c r="F50" s="125"/>
      <c r="G50" s="125"/>
      <c r="H50" s="125"/>
      <c r="I50" s="126"/>
      <c r="J50" s="125"/>
      <c r="K50" s="125"/>
      <c r="L50" s="125"/>
      <c r="M50" s="126"/>
      <c r="N50" s="125"/>
      <c r="O50" s="125"/>
      <c r="P50" s="125"/>
      <c r="Q50" s="126"/>
      <c r="R50" s="125"/>
      <c r="S50" s="125"/>
      <c r="T50" s="125"/>
      <c r="U50" s="126"/>
      <c r="V50" s="126"/>
      <c r="W50" s="53"/>
    </row>
    <row r="51" spans="1:23" ht="15">
      <c r="A51" s="65"/>
      <c r="B51" s="125"/>
      <c r="C51" s="125"/>
      <c r="D51" s="125"/>
      <c r="E51" s="126"/>
      <c r="F51" s="125"/>
      <c r="G51" s="125"/>
      <c r="H51" s="125"/>
      <c r="I51" s="126"/>
      <c r="J51" s="125"/>
      <c r="K51" s="125"/>
      <c r="L51" s="125"/>
      <c r="M51" s="126"/>
      <c r="N51" s="125"/>
      <c r="O51" s="125"/>
      <c r="P51" s="125"/>
      <c r="Q51" s="126"/>
      <c r="R51" s="125"/>
      <c r="S51" s="125"/>
      <c r="T51" s="125"/>
      <c r="U51" s="126"/>
      <c r="V51" s="126"/>
      <c r="W51" s="53"/>
    </row>
    <row r="52" spans="1:23" ht="15">
      <c r="A52" s="65"/>
      <c r="B52" s="125"/>
      <c r="C52" s="125"/>
      <c r="D52" s="125"/>
      <c r="E52" s="126"/>
      <c r="F52" s="125"/>
      <c r="G52" s="125"/>
      <c r="H52" s="125"/>
      <c r="I52" s="126"/>
      <c r="J52" s="125"/>
      <c r="K52" s="125"/>
      <c r="L52" s="125"/>
      <c r="M52" s="126"/>
      <c r="N52" s="125"/>
      <c r="O52" s="125"/>
      <c r="P52" s="125"/>
      <c r="Q52" s="126"/>
      <c r="R52" s="125"/>
      <c r="S52" s="125"/>
      <c r="T52" s="125"/>
      <c r="U52" s="126"/>
      <c r="V52" s="126"/>
      <c r="W52" s="53"/>
    </row>
    <row r="53" spans="1:23" ht="15">
      <c r="A53" s="53"/>
      <c r="B53" s="125"/>
      <c r="C53" s="125"/>
      <c r="D53" s="125"/>
      <c r="E53" s="126"/>
      <c r="F53" s="125"/>
      <c r="G53" s="125"/>
      <c r="H53" s="125"/>
      <c r="I53" s="126"/>
      <c r="J53" s="125"/>
      <c r="K53" s="125"/>
      <c r="L53" s="125"/>
      <c r="M53" s="126"/>
      <c r="N53" s="125"/>
      <c r="O53" s="125"/>
      <c r="P53" s="125"/>
      <c r="Q53" s="126"/>
      <c r="R53" s="125"/>
      <c r="S53" s="125"/>
      <c r="T53" s="125"/>
      <c r="U53" s="126"/>
      <c r="V53" s="126"/>
      <c r="W53" s="53"/>
    </row>
    <row r="54" spans="1:23" ht="15">
      <c r="A54" s="53"/>
      <c r="B54" s="125"/>
      <c r="C54" s="125"/>
      <c r="D54" s="125"/>
      <c r="E54" s="126"/>
      <c r="F54" s="125"/>
      <c r="G54" s="125"/>
      <c r="H54" s="125"/>
      <c r="I54" s="126"/>
      <c r="J54" s="125"/>
      <c r="K54" s="125"/>
      <c r="L54" s="125"/>
      <c r="M54" s="126"/>
      <c r="N54" s="125"/>
      <c r="O54" s="125"/>
      <c r="P54" s="125"/>
      <c r="Q54" s="126"/>
      <c r="R54" s="125"/>
      <c r="S54" s="125"/>
      <c r="T54" s="125"/>
      <c r="U54" s="126"/>
      <c r="V54" s="126"/>
      <c r="W54" s="53"/>
    </row>
    <row r="55" spans="1:23" ht="15">
      <c r="A55" s="53"/>
      <c r="B55" s="125"/>
      <c r="C55" s="125"/>
      <c r="D55" s="125"/>
      <c r="E55" s="126"/>
      <c r="F55" s="125"/>
      <c r="G55" s="125"/>
      <c r="H55" s="125"/>
      <c r="I55" s="126"/>
      <c r="J55" s="125"/>
      <c r="K55" s="125"/>
      <c r="L55" s="125"/>
      <c r="M55" s="126"/>
      <c r="N55" s="125"/>
      <c r="O55" s="125"/>
      <c r="P55" s="125"/>
      <c r="Q55" s="126"/>
      <c r="R55" s="125"/>
      <c r="S55" s="125"/>
      <c r="T55" s="125"/>
      <c r="U55" s="126"/>
      <c r="V55" s="126"/>
      <c r="W55" s="53"/>
    </row>
    <row r="56" spans="1:23" ht="15">
      <c r="A56" s="53"/>
      <c r="B56" s="125"/>
      <c r="C56" s="125"/>
      <c r="D56" s="125"/>
      <c r="E56" s="126"/>
      <c r="F56" s="125"/>
      <c r="G56" s="125"/>
      <c r="H56" s="125"/>
      <c r="I56" s="126"/>
      <c r="J56" s="125"/>
      <c r="K56" s="125"/>
      <c r="L56" s="125"/>
      <c r="M56" s="126"/>
      <c r="N56" s="125"/>
      <c r="O56" s="125"/>
      <c r="P56" s="125"/>
      <c r="Q56" s="126"/>
      <c r="R56" s="125"/>
      <c r="S56" s="125"/>
      <c r="T56" s="125"/>
      <c r="U56" s="126"/>
      <c r="V56" s="126"/>
      <c r="W56" s="53"/>
    </row>
    <row r="57" spans="1:23" ht="15">
      <c r="A57" s="53"/>
      <c r="B57" s="125"/>
      <c r="C57" s="125"/>
      <c r="D57" s="125"/>
      <c r="E57" s="126"/>
      <c r="F57" s="125"/>
      <c r="G57" s="125"/>
      <c r="H57" s="125"/>
      <c r="I57" s="126"/>
      <c r="J57" s="125"/>
      <c r="K57" s="125"/>
      <c r="L57" s="125"/>
      <c r="M57" s="126"/>
      <c r="N57" s="125"/>
      <c r="O57" s="125"/>
      <c r="P57" s="125"/>
      <c r="Q57" s="126"/>
      <c r="R57" s="125"/>
      <c r="S57" s="125"/>
      <c r="T57" s="125"/>
      <c r="U57" s="126"/>
      <c r="V57" s="126"/>
      <c r="W57" s="53"/>
    </row>
    <row r="58" spans="1:23" ht="15">
      <c r="A58" s="53"/>
      <c r="B58" s="125"/>
      <c r="C58" s="125"/>
      <c r="D58" s="125"/>
      <c r="E58" s="126"/>
      <c r="F58" s="125"/>
      <c r="G58" s="125"/>
      <c r="H58" s="125"/>
      <c r="I58" s="126"/>
      <c r="J58" s="125"/>
      <c r="K58" s="125"/>
      <c r="L58" s="125"/>
      <c r="M58" s="126"/>
      <c r="N58" s="125"/>
      <c r="O58" s="125"/>
      <c r="P58" s="125"/>
      <c r="Q58" s="126"/>
      <c r="R58" s="125"/>
      <c r="S58" s="125"/>
      <c r="T58" s="125"/>
      <c r="U58" s="126"/>
      <c r="V58" s="126"/>
      <c r="W58" s="53"/>
    </row>
    <row r="59" spans="1:23" ht="15">
      <c r="A59" s="53"/>
      <c r="B59" s="125"/>
      <c r="C59" s="125"/>
      <c r="D59" s="125"/>
      <c r="E59" s="126"/>
      <c r="F59" s="125"/>
      <c r="G59" s="125"/>
      <c r="H59" s="125"/>
      <c r="I59" s="126"/>
      <c r="J59" s="125"/>
      <c r="K59" s="125"/>
      <c r="L59" s="125"/>
      <c r="M59" s="126"/>
      <c r="N59" s="125"/>
      <c r="O59" s="125"/>
      <c r="P59" s="125"/>
      <c r="Q59" s="126"/>
      <c r="R59" s="125"/>
      <c r="S59" s="125"/>
      <c r="T59" s="125"/>
      <c r="U59" s="126"/>
      <c r="V59" s="126"/>
      <c r="W59" s="53"/>
    </row>
    <row r="60" spans="1:23" ht="15">
      <c r="A60" s="53"/>
      <c r="B60" s="125"/>
      <c r="C60" s="125"/>
      <c r="D60" s="125"/>
      <c r="E60" s="126"/>
      <c r="F60" s="125"/>
      <c r="G60" s="125"/>
      <c r="H60" s="125"/>
      <c r="I60" s="126"/>
      <c r="J60" s="125"/>
      <c r="K60" s="125"/>
      <c r="L60" s="125"/>
      <c r="M60" s="126"/>
      <c r="N60" s="125"/>
      <c r="O60" s="125"/>
      <c r="P60" s="125"/>
      <c r="Q60" s="126"/>
      <c r="R60" s="125"/>
      <c r="S60" s="125"/>
      <c r="T60" s="125"/>
      <c r="U60" s="126"/>
      <c r="V60" s="126"/>
      <c r="W60" s="53"/>
    </row>
    <row r="61" spans="1:23" ht="15">
      <c r="A61" s="53"/>
      <c r="B61" s="125"/>
      <c r="C61" s="125"/>
      <c r="D61" s="125"/>
      <c r="E61" s="126"/>
      <c r="F61" s="125"/>
      <c r="G61" s="125"/>
      <c r="H61" s="125"/>
      <c r="I61" s="126"/>
      <c r="J61" s="125"/>
      <c r="K61" s="125"/>
      <c r="L61" s="125"/>
      <c r="M61" s="126"/>
      <c r="N61" s="125"/>
      <c r="O61" s="125"/>
      <c r="P61" s="125"/>
      <c r="Q61" s="126"/>
      <c r="R61" s="125"/>
      <c r="S61" s="125"/>
      <c r="T61" s="125"/>
      <c r="U61" s="126"/>
      <c r="V61" s="126"/>
      <c r="W61" s="53"/>
    </row>
    <row r="62" ht="15">
      <c r="A62" s="58"/>
    </row>
    <row r="63" ht="15">
      <c r="A63" s="58"/>
    </row>
    <row r="64" ht="15">
      <c r="A64" s="58"/>
    </row>
    <row r="65" ht="15">
      <c r="A65" s="58"/>
    </row>
    <row r="66" ht="15">
      <c r="A66" s="58"/>
    </row>
    <row r="67" ht="15">
      <c r="A67" s="58"/>
    </row>
    <row r="68" ht="15">
      <c r="A68" s="58"/>
    </row>
    <row r="69" ht="15">
      <c r="A69" s="58"/>
    </row>
    <row r="70" ht="15">
      <c r="A70" s="58"/>
    </row>
    <row r="71" ht="15">
      <c r="A71" s="58"/>
    </row>
  </sheetData>
  <sheetProtection/>
  <conditionalFormatting sqref="B39">
    <cfRule type="expression" priority="10" dxfId="16" stopIfTrue="1">
      <formula>IF(LENB($A38)=4,TRUE,FALSE)</formula>
    </cfRule>
  </conditionalFormatting>
  <conditionalFormatting sqref="B40 F39:F40 J39:J40 N39:N40 R39:R40 A39:A40 V39:W40">
    <cfRule type="expression" priority="9" dxfId="16" stopIfTrue="1">
      <formula>IF(LENB($A38)=4,TRUE,FALSE)</formula>
    </cfRule>
  </conditionalFormatting>
  <conditionalFormatting sqref="A41:B61 F41:F61 J41:J61 N41:N61 R41:R61 V41:V61 W41">
    <cfRule type="expression" priority="8" dxfId="16" stopIfTrue="1">
      <formula>IF(LENB($A40)=4,TRUE,FALSE)</formula>
    </cfRule>
  </conditionalFormatting>
  <conditionalFormatting sqref="F42">
    <cfRule type="expression" priority="7" dxfId="17" stopIfTrue="1">
      <formula>IF($A42="Total",TRUE,FALSE)</formula>
    </cfRule>
  </conditionalFormatting>
  <conditionalFormatting sqref="A42:B61 F43:F61 J42:J61 N42:N61 R42:R61 V42:V61">
    <cfRule type="expression" priority="6" dxfId="17" stopIfTrue="1">
      <formula>IF($A42="Total",TRUE,FALSE)</formula>
    </cfRule>
  </conditionalFormatting>
  <conditionalFormatting sqref="C42:D42">
    <cfRule type="expression" priority="5" dxfId="18" stopIfTrue="1">
      <formula>IF($A42="Total",TRUE,FALSE)</formula>
    </cfRule>
  </conditionalFormatting>
  <conditionalFormatting sqref="C43:D61 G42:H61 K42:L61 O42:P61 S42:T61">
    <cfRule type="expression" priority="4" dxfId="18" stopIfTrue="1">
      <formula>IF($A42="Total",TRUE,FALSE)</formula>
    </cfRule>
  </conditionalFormatting>
  <conditionalFormatting sqref="E42">
    <cfRule type="expression" priority="3" dxfId="19" stopIfTrue="1">
      <formula>IF($A42="Total",TRUE,FALSE)</formula>
    </cfRule>
  </conditionalFormatting>
  <conditionalFormatting sqref="E43:E61 I42:I61 M42:M61 Q42:Q61 U42:U61">
    <cfRule type="expression" priority="2" dxfId="19" stopIfTrue="1">
      <formula>IF($A42="Total",TRUE,FALSE)</formula>
    </cfRule>
  </conditionalFormatting>
  <conditionalFormatting sqref="V42:V61">
    <cfRule type="expression" priority="1" dxfId="19" stopIfTrue="1">
      <formula>IF($A42="Total",TRUE,FALSE)</formula>
    </cfRule>
  </conditionalFormatting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7" ht="15">
      <c r="A1" s="1" t="s">
        <v>17</v>
      </c>
      <c r="B1" s="1" t="s">
        <v>18</v>
      </c>
      <c r="C1" s="66" t="s">
        <v>19</v>
      </c>
      <c r="D1" s="66" t="s">
        <v>20</v>
      </c>
      <c r="E1" s="92" t="s">
        <v>21</v>
      </c>
      <c r="F1" s="104" t="s">
        <v>22</v>
      </c>
      <c r="G1" s="104" t="s">
        <v>23</v>
      </c>
    </row>
    <row r="2" spans="1:7" ht="15">
      <c r="A2" s="1">
        <v>1975</v>
      </c>
      <c r="B2" s="1">
        <v>2010</v>
      </c>
      <c r="C2" s="66">
        <v>342</v>
      </c>
      <c r="D2" s="66">
        <v>334</v>
      </c>
      <c r="E2" s="92">
        <v>128</v>
      </c>
      <c r="F2" s="104">
        <v>1409</v>
      </c>
      <c r="G2" s="104">
        <v>708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8"/>
  <sheetViews>
    <sheetView zoomScalePageLayoutView="0" workbookViewId="0" topLeftCell="A1">
      <selection activeCell="A265" sqref="A265"/>
    </sheetView>
  </sheetViews>
  <sheetFormatPr defaultColWidth="9.140625" defaultRowHeight="15"/>
  <cols>
    <col min="1" max="1" width="10.7109375" style="113" customWidth="1"/>
    <col min="2" max="2" width="10.00390625" style="113" bestFit="1" customWidth="1"/>
    <col min="3" max="16384" width="9.140625" style="113" customWidth="1"/>
  </cols>
  <sheetData>
    <row r="1" ht="15">
      <c r="B1" s="116" t="s">
        <v>24</v>
      </c>
    </row>
    <row r="2" spans="1:2" ht="15">
      <c r="A2" s="112">
        <f>Table1!N112</f>
        <v>16532</v>
      </c>
      <c r="B2" s="113" t="s">
        <v>25</v>
      </c>
    </row>
    <row r="3" spans="1:2" ht="15">
      <c r="A3" s="112">
        <f>SUM(Table1!H112:L112)</f>
        <v>14175</v>
      </c>
      <c r="B3" s="113" t="s">
        <v>1</v>
      </c>
    </row>
    <row r="4" spans="1:2" ht="15">
      <c r="A4" s="114">
        <f>A3/A2</f>
        <v>0.8574280183885797</v>
      </c>
      <c r="B4" s="113" t="s">
        <v>26</v>
      </c>
    </row>
    <row r="5" spans="1:2" ht="15">
      <c r="A5" s="112">
        <f>A2-A3</f>
        <v>2357</v>
      </c>
      <c r="B5" s="113" t="s">
        <v>27</v>
      </c>
    </row>
    <row r="6" spans="1:2" ht="15">
      <c r="A6" s="114">
        <f>A5/A2</f>
        <v>0.14257198161142026</v>
      </c>
      <c r="B6" s="113" t="s">
        <v>28</v>
      </c>
    </row>
    <row r="7" spans="1:2" ht="15">
      <c r="A7" s="122">
        <f>A8+A10</f>
        <v>312</v>
      </c>
      <c r="B7" s="113" t="s">
        <v>29</v>
      </c>
    </row>
    <row r="8" spans="1:2" ht="15">
      <c r="A8" s="112">
        <f>SUM(Table1!H88:L88)</f>
        <v>155</v>
      </c>
      <c r="B8" s="113" t="s">
        <v>30</v>
      </c>
    </row>
    <row r="9" spans="1:2" ht="15">
      <c r="A9" s="114">
        <f>A8/(A8+A10)</f>
        <v>0.4967948717948718</v>
      </c>
      <c r="B9" s="113" t="s">
        <v>31</v>
      </c>
    </row>
    <row r="10" spans="1:2" ht="15">
      <c r="A10" s="112">
        <f>SUM(Table1!C88:G88)-SUM(Table1!H88:L88)</f>
        <v>157</v>
      </c>
      <c r="B10" s="113" t="s">
        <v>32</v>
      </c>
    </row>
    <row r="11" spans="1:2" ht="15">
      <c r="A11" s="114">
        <f>A10/(A10+A8)</f>
        <v>0.5032051282051282</v>
      </c>
      <c r="B11" s="113" t="s">
        <v>33</v>
      </c>
    </row>
    <row r="12" spans="1:2" ht="15">
      <c r="A12" s="112">
        <f>Table1!N7-Table2!P7</f>
        <v>40</v>
      </c>
      <c r="B12" s="113" t="s">
        <v>34</v>
      </c>
    </row>
    <row r="13" spans="1:2" ht="15">
      <c r="A13" s="113">
        <v>35</v>
      </c>
      <c r="B13" s="113" t="s">
        <v>35</v>
      </c>
    </row>
    <row r="14" ht="15">
      <c r="B14" s="116" t="s">
        <v>36</v>
      </c>
    </row>
    <row r="15" spans="1:2" ht="15">
      <c r="A15" s="114">
        <f>A16/(A18+A16)</f>
        <v>0.8158117590128237</v>
      </c>
      <c r="B15" s="113" t="s">
        <v>37</v>
      </c>
    </row>
    <row r="16" spans="1:2" ht="15">
      <c r="A16" s="112">
        <f>SUM(Table1!C112:F112)</f>
        <v>13487</v>
      </c>
      <c r="B16" s="113" t="s">
        <v>38</v>
      </c>
    </row>
    <row r="17" spans="1:2" ht="15">
      <c r="A17" s="114">
        <f>A18/(A18+A16)</f>
        <v>0.18418824098717637</v>
      </c>
      <c r="B17" s="113" t="s">
        <v>39</v>
      </c>
    </row>
    <row r="18" spans="1:2" ht="15">
      <c r="A18" s="112">
        <f>Table1!G112</f>
        <v>3045</v>
      </c>
      <c r="B18" s="113" t="s">
        <v>40</v>
      </c>
    </row>
    <row r="19" spans="1:2" ht="15">
      <c r="A19" s="112">
        <f>Table1!N112</f>
        <v>16532</v>
      </c>
      <c r="B19" s="113" t="s">
        <v>41</v>
      </c>
    </row>
    <row r="20" spans="1:2" ht="15">
      <c r="A20" s="112">
        <f>Table1!C112</f>
        <v>7603</v>
      </c>
      <c r="B20" s="113" t="s">
        <v>42</v>
      </c>
    </row>
    <row r="21" spans="1:2" ht="15">
      <c r="A21" s="114">
        <f>A20/A$19</f>
        <v>0.45989595935156063</v>
      </c>
      <c r="B21" s="113" t="s">
        <v>43</v>
      </c>
    </row>
    <row r="22" spans="1:2" ht="15">
      <c r="A22" s="112">
        <f>Table1!E112</f>
        <v>4306</v>
      </c>
      <c r="B22" s="113" t="s">
        <v>44</v>
      </c>
    </row>
    <row r="23" spans="1:2" ht="15">
      <c r="A23" s="114">
        <f>A22/A$19</f>
        <v>0.2604645535930317</v>
      </c>
      <c r="B23" s="113" t="s">
        <v>45</v>
      </c>
    </row>
    <row r="24" spans="1:2" ht="15">
      <c r="A24" s="112">
        <f>Table1!D112+Table1!F112</f>
        <v>1578</v>
      </c>
      <c r="B24" s="113" t="s">
        <v>46</v>
      </c>
    </row>
    <row r="25" spans="1:2" ht="15">
      <c r="A25" s="114">
        <f>A24/A$19</f>
        <v>0.09545124606823131</v>
      </c>
      <c r="B25" s="113" t="s">
        <v>47</v>
      </c>
    </row>
    <row r="26" spans="1:2" ht="15">
      <c r="A26" s="114">
        <f>A27/A28</f>
        <v>0.41652593486127865</v>
      </c>
      <c r="B26" s="113" t="s">
        <v>48</v>
      </c>
    </row>
    <row r="27" spans="1:2" ht="15">
      <c r="A27" s="112">
        <f>Table1!C26</f>
        <v>3453</v>
      </c>
      <c r="B27" s="113" t="s">
        <v>49</v>
      </c>
    </row>
    <row r="28" spans="1:2" ht="15">
      <c r="A28" s="112">
        <f>Table1!N26</f>
        <v>8290</v>
      </c>
      <c r="B28" s="113" t="s">
        <v>50</v>
      </c>
    </row>
    <row r="29" spans="1:2" ht="15">
      <c r="A29" s="114">
        <f>A30/A31</f>
        <v>0.800902934537246</v>
      </c>
      <c r="B29" s="113" t="s">
        <v>51</v>
      </c>
    </row>
    <row r="30" spans="1:2" ht="15">
      <c r="A30" s="112">
        <f>Table1!C35</f>
        <v>1774</v>
      </c>
      <c r="B30" s="113" t="s">
        <v>52</v>
      </c>
    </row>
    <row r="31" spans="1:2" ht="15">
      <c r="A31" s="112">
        <f>Table1!N35</f>
        <v>2215</v>
      </c>
      <c r="B31" s="113" t="s">
        <v>53</v>
      </c>
    </row>
    <row r="32" spans="1:2" ht="15">
      <c r="A32" s="112"/>
      <c r="B32" s="116" t="s">
        <v>54</v>
      </c>
    </row>
    <row r="33" spans="1:2" ht="15">
      <c r="A33" s="114">
        <f>A34/(A34+A36)</f>
        <v>0.7678113076656261</v>
      </c>
      <c r="B33" s="113" t="s">
        <v>55</v>
      </c>
    </row>
    <row r="34" spans="1:2" ht="15">
      <c r="A34" s="112">
        <f>Table2!O111</f>
        <v>11068</v>
      </c>
      <c r="B34" s="113" t="s">
        <v>56</v>
      </c>
    </row>
    <row r="35" spans="1:2" ht="15">
      <c r="A35" s="114">
        <f>A36/(A36+A34)</f>
        <v>0.23218869233437392</v>
      </c>
      <c r="B35" s="113" t="s">
        <v>57</v>
      </c>
    </row>
    <row r="36" spans="1:2" ht="15">
      <c r="A36" s="112">
        <f>Table2!P111-Table2!O111</f>
        <v>3347</v>
      </c>
      <c r="B36" s="113" t="s">
        <v>58</v>
      </c>
    </row>
    <row r="37" spans="1:2" ht="15">
      <c r="A37" s="113">
        <f>Sundry!C2-Sundry!D2</f>
        <v>8</v>
      </c>
      <c r="B37" s="113" t="s">
        <v>59</v>
      </c>
    </row>
    <row r="38" spans="1:2" ht="15">
      <c r="A38" s="114">
        <f>A39/Table1!C112</f>
        <v>0.28975404445613573</v>
      </c>
      <c r="B38" s="113" t="s">
        <v>60</v>
      </c>
    </row>
    <row r="39" spans="1:2" ht="15">
      <c r="A39" s="112">
        <f>Table1!C112-Table2!C111</f>
        <v>2203</v>
      </c>
      <c r="B39" s="113" t="s">
        <v>61</v>
      </c>
    </row>
    <row r="40" spans="1:2" ht="15">
      <c r="A40" s="114">
        <f>A41/A42</f>
        <v>0.4878930249367546</v>
      </c>
      <c r="B40" s="113" t="s">
        <v>62</v>
      </c>
    </row>
    <row r="41" spans="1:2" ht="15">
      <c r="A41" s="112">
        <f>Table2!C111</f>
        <v>5400</v>
      </c>
      <c r="B41" s="113" t="s">
        <v>63</v>
      </c>
    </row>
    <row r="42" spans="1:2" ht="15">
      <c r="A42" s="112">
        <f>Table2!O111</f>
        <v>11068</v>
      </c>
      <c r="B42" s="113" t="s">
        <v>64</v>
      </c>
    </row>
    <row r="43" spans="1:2" ht="15">
      <c r="A43" s="114">
        <f>A44/A45</f>
        <v>0.37460978147762747</v>
      </c>
      <c r="B43" s="113" t="s">
        <v>65</v>
      </c>
    </row>
    <row r="44" spans="1:2" ht="15">
      <c r="A44" s="112">
        <f>Table2!C111</f>
        <v>5400</v>
      </c>
      <c r="B44" s="113" t="s">
        <v>66</v>
      </c>
    </row>
    <row r="45" spans="1:2" ht="15">
      <c r="A45" s="112">
        <f>Table2!P111</f>
        <v>14415</v>
      </c>
      <c r="B45" s="113" t="s">
        <v>67</v>
      </c>
    </row>
    <row r="46" spans="1:2" ht="15">
      <c r="A46" s="114">
        <f>A47/Table1!E112</f>
        <v>0.18392940083604273</v>
      </c>
      <c r="B46" s="113" t="s">
        <v>68</v>
      </c>
    </row>
    <row r="47" spans="1:2" ht="15">
      <c r="A47" s="112">
        <f>Table1!E112-Table2!E111</f>
        <v>792</v>
      </c>
      <c r="B47" s="113" t="s">
        <v>69</v>
      </c>
    </row>
    <row r="48" spans="1:2" ht="15">
      <c r="A48" s="114">
        <f>A49/Table1!F112</f>
        <v>0.41468926553672314</v>
      </c>
      <c r="B48" s="113" t="s">
        <v>70</v>
      </c>
    </row>
    <row r="49" spans="1:2" ht="15">
      <c r="A49" s="112">
        <f>Table2!F111-Table1!F112</f>
        <v>367</v>
      </c>
      <c r="B49" s="113" t="s">
        <v>71</v>
      </c>
    </row>
    <row r="50" spans="1:2" ht="15">
      <c r="A50" s="114">
        <f>A51/Table1!D112</f>
        <v>0.29004329004329005</v>
      </c>
      <c r="B50" s="113" t="s">
        <v>72</v>
      </c>
    </row>
    <row r="51" spans="1:2" ht="15">
      <c r="A51" s="112">
        <f>Table2!D111-Table1!D112</f>
        <v>201</v>
      </c>
      <c r="B51" s="113" t="s">
        <v>73</v>
      </c>
    </row>
    <row r="52" spans="1:2" ht="15">
      <c r="A52" s="114">
        <f>A53/Table1!G112</f>
        <v>0.09917898193760263</v>
      </c>
      <c r="B52" s="113" t="s">
        <v>74</v>
      </c>
    </row>
    <row r="53" spans="1:2" ht="15">
      <c r="A53" s="112">
        <f>Table2!G111-Table1!G112</f>
        <v>302</v>
      </c>
      <c r="B53" s="113" t="s">
        <v>75</v>
      </c>
    </row>
    <row r="54" spans="1:2" ht="15">
      <c r="A54" s="112"/>
      <c r="B54" s="116" t="s">
        <v>76</v>
      </c>
    </row>
    <row r="55" spans="1:2" ht="15">
      <c r="A55" s="112">
        <f>SUM(Table3!53:53)</f>
        <v>36305</v>
      </c>
      <c r="B55" s="113" t="s">
        <v>77</v>
      </c>
    </row>
    <row r="56" ht="15">
      <c r="B56" s="113" t="s">
        <v>78</v>
      </c>
    </row>
    <row r="57" ht="15">
      <c r="B57" s="113" t="s">
        <v>79</v>
      </c>
    </row>
    <row r="58" ht="15">
      <c r="B58" s="113" t="s">
        <v>80</v>
      </c>
    </row>
    <row r="59" spans="1:2" ht="15">
      <c r="A59" s="115" t="str">
        <f>IF(AVERAGE(Table4!C:D)&gt;AVERAGE(Table4!E:F),"intra","cross")</f>
        <v>intra</v>
      </c>
      <c r="B59" s="113" t="s">
        <v>81</v>
      </c>
    </row>
    <row r="60" ht="15">
      <c r="B60" s="116" t="s">
        <v>82</v>
      </c>
    </row>
    <row r="61" ht="15">
      <c r="B61" s="115" t="s">
        <v>83</v>
      </c>
    </row>
    <row r="62" spans="1:2" ht="15">
      <c r="A62" s="113">
        <f>COUNTIF(Table5!D:D,"decrease")</f>
        <v>27</v>
      </c>
      <c r="B62" s="113" t="s">
        <v>84</v>
      </c>
    </row>
    <row r="63" spans="1:2" ht="15">
      <c r="A63" s="113">
        <f>COUNTIF(Table5!D:D,"constant")</f>
        <v>14</v>
      </c>
      <c r="B63" s="113" t="s">
        <v>85</v>
      </c>
    </row>
    <row r="64" spans="1:2" ht="15">
      <c r="A64" s="113">
        <f>COUNTIF(Table5!D:D,"increase")</f>
        <v>36</v>
      </c>
      <c r="B64" s="113" t="s">
        <v>86</v>
      </c>
    </row>
    <row r="65" spans="1:2" ht="15">
      <c r="A65" s="112">
        <f>Table5!C111</f>
        <v>-558</v>
      </c>
      <c r="B65" s="113" t="s">
        <v>87</v>
      </c>
    </row>
    <row r="66" spans="1:2" ht="15">
      <c r="A66" s="114">
        <f>A65/A67</f>
        <v>-0.08198648251542756</v>
      </c>
      <c r="B66" s="113" t="s">
        <v>88</v>
      </c>
    </row>
    <row r="67" spans="1:2" ht="15">
      <c r="A67" s="112">
        <f>Table1!H112</f>
        <v>6806</v>
      </c>
      <c r="B67" s="113" t="s">
        <v>89</v>
      </c>
    </row>
    <row r="68" spans="1:2" ht="15">
      <c r="A68" s="112">
        <f>Table5!C23+Table5!C24</f>
        <v>-416</v>
      </c>
      <c r="B68" s="113" t="s">
        <v>90</v>
      </c>
    </row>
    <row r="69" spans="1:2" ht="15">
      <c r="A69" s="114">
        <f>A68/A70</f>
        <v>-0.32755905511811023</v>
      </c>
      <c r="B69" s="113" t="s">
        <v>91</v>
      </c>
    </row>
    <row r="70" spans="1:6" ht="15">
      <c r="A70" s="117">
        <f>Table1!H24+Table1!H25</f>
        <v>1270</v>
      </c>
      <c r="B70" s="118" t="s">
        <v>92</v>
      </c>
      <c r="C70" s="118"/>
      <c r="D70" s="118"/>
      <c r="E70" s="118"/>
      <c r="F70" s="118"/>
    </row>
    <row r="71" spans="1:6" ht="15">
      <c r="A71" s="119"/>
      <c r="B71" s="115" t="s">
        <v>93</v>
      </c>
      <c r="C71" s="120"/>
      <c r="D71" s="120"/>
      <c r="E71" s="120"/>
      <c r="F71" s="120"/>
    </row>
    <row r="72" spans="1:2" ht="15">
      <c r="A72" s="113">
        <f>COUNTIF(Table5!H:H,"decrease")</f>
        <v>15</v>
      </c>
      <c r="B72" s="113" t="s">
        <v>94</v>
      </c>
    </row>
    <row r="73" spans="1:2" ht="15">
      <c r="A73" s="113">
        <f>COUNTIF(Table5!H:H,"constant")</f>
        <v>21</v>
      </c>
      <c r="B73" s="113" t="s">
        <v>95</v>
      </c>
    </row>
    <row r="74" spans="1:2" ht="15">
      <c r="A74" s="113">
        <f>COUNTIF(Table5!H:H,"increase")</f>
        <v>41</v>
      </c>
      <c r="B74" s="113" t="s">
        <v>96</v>
      </c>
    </row>
    <row r="75" spans="1:2" ht="15">
      <c r="A75" s="112">
        <f>Table5!G111</f>
        <v>289</v>
      </c>
      <c r="B75" s="113" t="s">
        <v>97</v>
      </c>
    </row>
    <row r="76" spans="1:2" ht="15">
      <c r="A76" s="114">
        <f>A75/A77</f>
        <v>0.4522691705790297</v>
      </c>
      <c r="B76" s="113" t="s">
        <v>97</v>
      </c>
    </row>
    <row r="77" spans="1:5" ht="15">
      <c r="A77" s="119">
        <f>Table1!I112</f>
        <v>639</v>
      </c>
      <c r="B77" s="120" t="s">
        <v>98</v>
      </c>
      <c r="C77" s="120"/>
      <c r="D77" s="120"/>
      <c r="E77" s="120"/>
    </row>
    <row r="78" spans="1:18" ht="15" customHeight="1">
      <c r="A78" s="119">
        <f>LARGE(Table5!I:I,1)</f>
        <v>101</v>
      </c>
      <c r="B78" s="120" t="str">
        <f>"1st largest increase: "&amp;VLOOKUP(A78,Table5!I:J,2,FALSE)&amp;" ("&amp;TEXT(A78/Table5!$G$111,"#0.0%")&amp;")"</f>
        <v>1st largest increase: PWS Salmon Drift Gillnet (34.9%)</v>
      </c>
      <c r="C78" s="120"/>
      <c r="D78" s="120"/>
      <c r="E78" s="120"/>
      <c r="I78" s="162" t="s">
        <v>99</v>
      </c>
      <c r="J78" s="162"/>
      <c r="K78" s="162"/>
      <c r="L78" s="162"/>
      <c r="M78" s="162"/>
      <c r="N78" s="162"/>
      <c r="O78" s="162"/>
      <c r="P78" s="162"/>
      <c r="Q78" s="162"/>
      <c r="R78" s="162"/>
    </row>
    <row r="79" spans="1:18" ht="15" customHeight="1">
      <c r="A79" s="119">
        <f>LARGE(Table5!I:I,2)</f>
        <v>47</v>
      </c>
      <c r="B79" s="120" t="str">
        <f>"2nd largest increase: "&amp;VLOOKUP(A79,Table5!I:J,2,FALSE)&amp;" ("&amp;TEXT(A79/Table5!$G$111,"#0.0%")&amp;")"</f>
        <v>2nd largest increase: PWS Salmon Seine (16.3%)</v>
      </c>
      <c r="C79" s="120"/>
      <c r="D79" s="120"/>
      <c r="E79" s="120"/>
      <c r="I79" s="162"/>
      <c r="J79" s="162"/>
      <c r="K79" s="162"/>
      <c r="L79" s="162"/>
      <c r="M79" s="162"/>
      <c r="N79" s="162"/>
      <c r="O79" s="162"/>
      <c r="P79" s="162"/>
      <c r="Q79" s="162"/>
      <c r="R79" s="162"/>
    </row>
    <row r="80" spans="1:18" ht="15">
      <c r="A80" s="119">
        <f>SMALL(Table5!I:I,1)</f>
        <v>-29</v>
      </c>
      <c r="B80" s="120" t="str">
        <f>"1st largest decrease: "&amp;VLOOKUP(A80,Table5!I:J,2,FALSE)&amp;" ("&amp;TEXT(A80/Table5!$G$111,"#0.0%")&amp;")"</f>
        <v>1st largest decrease: Lower Yukon Salmon Gillnet (-10.0%)</v>
      </c>
      <c r="C80" s="120"/>
      <c r="D80" s="120"/>
      <c r="E80" s="120"/>
      <c r="I80" s="162"/>
      <c r="J80" s="162"/>
      <c r="K80" s="162"/>
      <c r="L80" s="162"/>
      <c r="M80" s="162"/>
      <c r="N80" s="162"/>
      <c r="O80" s="162"/>
      <c r="P80" s="162"/>
      <c r="Q80" s="162"/>
      <c r="R80" s="162"/>
    </row>
    <row r="81" spans="1:18" ht="15">
      <c r="A81" s="117">
        <f>SMALL(Table5!I:I,2)</f>
        <v>-7</v>
      </c>
      <c r="B81" s="118" t="str">
        <f>"2nd largest decrease: "&amp;VLOOKUP(A81,Table5!I:J,2,FALSE)&amp;" ("&amp;TEXT(A81/Table5!$G$111,"#0.0%")&amp;")"</f>
        <v>2nd largest decrease: Kuskokwim Salmon Gillnet (-2.4%)</v>
      </c>
      <c r="C81" s="118"/>
      <c r="D81" s="118"/>
      <c r="E81" s="118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5" ht="15">
      <c r="A82" s="119"/>
      <c r="B82" s="115" t="s">
        <v>100</v>
      </c>
      <c r="C82" s="120"/>
      <c r="D82" s="120"/>
      <c r="E82" s="120"/>
    </row>
    <row r="83" spans="1:2" ht="15">
      <c r="A83" s="113">
        <f>COUNTIF(Table5!L:L,"decrease")</f>
        <v>12</v>
      </c>
      <c r="B83" s="113" t="s">
        <v>101</v>
      </c>
    </row>
    <row r="84" spans="1:2" ht="15">
      <c r="A84" s="113">
        <f>COUNTIF(Table5!L:L,"constant")</f>
        <v>25</v>
      </c>
      <c r="B84" s="113" t="s">
        <v>102</v>
      </c>
    </row>
    <row r="85" spans="1:2" ht="15">
      <c r="A85" s="113">
        <f>COUNTIF(Table5!L:L,"increase")</f>
        <v>40</v>
      </c>
      <c r="B85" s="113" t="s">
        <v>103</v>
      </c>
    </row>
    <row r="86" spans="1:2" ht="15">
      <c r="A86" s="112">
        <f>Table5!K111</f>
        <v>300</v>
      </c>
      <c r="B86" s="113" t="s">
        <v>104</v>
      </c>
    </row>
    <row r="87" spans="1:2" ht="15">
      <c r="A87" s="114">
        <f>A86/A88</f>
        <v>0.0946969696969697</v>
      </c>
      <c r="B87" s="113" t="s">
        <v>104</v>
      </c>
    </row>
    <row r="88" spans="1:2" ht="15">
      <c r="A88" s="112">
        <f>Table1!J112</f>
        <v>3168</v>
      </c>
      <c r="B88" s="113" t="s">
        <v>105</v>
      </c>
    </row>
    <row r="89" spans="1:2" ht="15">
      <c r="A89" s="113">
        <f>LARGE(Table5!M:M,1)</f>
        <v>64</v>
      </c>
      <c r="B89" s="113" t="str">
        <f>"1st largest increase: "&amp;VLOOKUP(A89,Table5!M:N,2,FALSE)&amp;" ("&amp;TEXT(A89/Table5!$K$111,"#0.0%")&amp;")"</f>
        <v>1st largest increase: Salmon Power Troll (21.3%)</v>
      </c>
    </row>
    <row r="90" spans="1:2" ht="15">
      <c r="A90" s="113">
        <f>LARGE(Table5!M:M,2)</f>
        <v>62</v>
      </c>
      <c r="B90" s="113" t="str">
        <f>"2nd largest increase: "&amp;VLOOKUP(A90,Table5!M:N,2,FALSE)&amp;" ("&amp;TEXT(A90/Table5!$K$111,"#0.0%")&amp;")"</f>
        <v>2nd largest increase: Kodiak Salmon Seine (20.7%)</v>
      </c>
    </row>
    <row r="91" spans="1:2" ht="15">
      <c r="A91" s="113">
        <f>LARGE(Table5!M:M,3)</f>
        <v>52</v>
      </c>
      <c r="B91" s="113" t="str">
        <f>"3rd largest increase: "&amp;VLOOKUP(A91,Table5!M:N,2,FALSE)&amp;" ("&amp;TEXT(A91/Table5!$K$111,"#0.0%")&amp;")"</f>
        <v>3rd largest increase: SE Salmon Seine (17.3%)</v>
      </c>
    </row>
    <row r="92" spans="1:2" ht="15">
      <c r="A92" s="113">
        <f>LARGE(Table5!M:M,4)</f>
        <v>50</v>
      </c>
      <c r="B92" s="113" t="str">
        <f>"4th largest increase: "&amp;VLOOKUP(A92,Table5!M:N,2,FALSE)&amp;" ("&amp;TEXT(A92/Table5!$K$111,"#0.0%")&amp;")"</f>
        <v>4th largest increase: Kodiak Salmon Setnet (16.7%)</v>
      </c>
    </row>
    <row r="93" spans="1:2" ht="15">
      <c r="A93" s="113">
        <f>LARGE(Table5!M:M,5)</f>
        <v>42</v>
      </c>
      <c r="B93" s="113" t="str">
        <f>"5th largest increase: "&amp;VLOOKUP(A93,Table5!M:N,2,FALSE)&amp;" ("&amp;TEXT(A93/Table5!$K$111,"#0.0%")&amp;")"</f>
        <v>5th largest increase: SE Salmon Drift Gillnet (14.0%)</v>
      </c>
    </row>
    <row r="94" spans="1:8" ht="15">
      <c r="A94" s="118">
        <f>LARGE(Table5!M:M,6)</f>
        <v>22</v>
      </c>
      <c r="B94" s="118" t="str">
        <f>"6th largest increase: "&amp;VLOOKUP(A94,Table5!M:N,2,FALSE)&amp;" ("&amp;TEXT(A94/Table5!$K$111,"#0.0%")&amp;")"</f>
        <v>6th largest increase: SSE Her Spawn on Kelp Pound (7.3%)</v>
      </c>
      <c r="C94" s="118"/>
      <c r="D94" s="118"/>
      <c r="E94" s="118"/>
      <c r="F94" s="118"/>
      <c r="G94" s="118"/>
      <c r="H94" s="118"/>
    </row>
    <row r="95" spans="1:8" ht="15">
      <c r="A95" s="120"/>
      <c r="B95" s="115" t="s">
        <v>106</v>
      </c>
      <c r="C95" s="120"/>
      <c r="D95" s="120"/>
      <c r="E95" s="120"/>
      <c r="F95" s="120"/>
      <c r="G95" s="120"/>
      <c r="H95" s="120"/>
    </row>
    <row r="96" spans="1:2" ht="15">
      <c r="A96" s="113">
        <f>COUNTIF(Table5!P:P,"decrease")</f>
        <v>29</v>
      </c>
      <c r="B96" s="113" t="s">
        <v>107</v>
      </c>
    </row>
    <row r="97" spans="1:2" ht="15">
      <c r="A97" s="113">
        <f>COUNTIF(Table5!P:P,"constant")</f>
        <v>19</v>
      </c>
      <c r="B97" s="113" t="s">
        <v>108</v>
      </c>
    </row>
    <row r="98" spans="1:2" ht="15">
      <c r="A98" s="113">
        <f>COUNTIF(Table5!P:P,"increase")</f>
        <v>29</v>
      </c>
      <c r="B98" s="113" t="s">
        <v>109</v>
      </c>
    </row>
    <row r="99" spans="1:2" ht="15">
      <c r="A99" s="112">
        <f>Table5!O111</f>
        <v>161</v>
      </c>
      <c r="B99" s="113" t="s">
        <v>110</v>
      </c>
    </row>
    <row r="100" spans="1:2" ht="15">
      <c r="A100" s="114">
        <f>A99/A101</f>
        <v>0.20074812967581046</v>
      </c>
      <c r="B100" s="113" t="s">
        <v>110</v>
      </c>
    </row>
    <row r="101" spans="1:2" ht="15">
      <c r="A101" s="112">
        <f>SUM(Table1!K112)</f>
        <v>802</v>
      </c>
      <c r="B101" s="113" t="s">
        <v>111</v>
      </c>
    </row>
    <row r="102" spans="1:2" ht="15">
      <c r="A102" s="113">
        <f>LARGE(Table5!Q:Q,1)</f>
        <v>90</v>
      </c>
      <c r="B102" s="113" t="str">
        <f>"1st largest increase: "&amp;VLOOKUP(A102,Table5!Q:R,2,FALSE)&amp;" ("&amp;TEXT(A102/Table5!$K$111,"#0.0%")&amp;")"</f>
        <v>1st largest increase: Bristol Bay Salmon Drift (30.0%)</v>
      </c>
    </row>
    <row r="103" spans="1:2" ht="15">
      <c r="A103" s="113">
        <f>LARGE(Table5!Q:Q,2)</f>
        <v>56</v>
      </c>
      <c r="B103" s="113" t="str">
        <f>"2nd largest increase: "&amp;VLOOKUP(A103,Table5!Q:R,2,FALSE)&amp;" ("&amp;TEXT(A103/Table5!$K$111,"#0.0%")&amp;")"</f>
        <v>2nd largest increase: Bristol Bay Salmon Setnet (18.7%)</v>
      </c>
    </row>
    <row r="104" spans="1:2" ht="15">
      <c r="A104" s="113">
        <f>LARGE(Table5!Q:Q,3)</f>
        <v>16</v>
      </c>
      <c r="B104" s="113" t="str">
        <f>"3rd largest increase: "&amp;VLOOKUP(A104,Table5!Q:R,2,FALSE)&amp;" ("&amp;TEXT(A104/Table5!$K$111,"#0.0%")&amp;")"</f>
        <v>3rd largest increase: SE Salmon Seine (5.3%)</v>
      </c>
    </row>
    <row r="105" spans="1:2" ht="15">
      <c r="A105" s="113">
        <f>LARGE(Table5!Q:Q,4)</f>
        <v>15</v>
      </c>
      <c r="B105" s="113" t="str">
        <f>"4th largest increase: "&amp;VLOOKUP(A105,Table5!Q:R,2,FALSE)&amp;" ("&amp;TEXT(A105/Table5!$K$111,"#0.0%")&amp;")"</f>
        <v>4th largest increase: PWS Salmon Drift Gillnet (5.0%)</v>
      </c>
    </row>
    <row r="106" spans="1:2" ht="15">
      <c r="A106" s="113">
        <f>LARGE(Table5!Q:Q,5)</f>
        <v>15</v>
      </c>
      <c r="B106" s="113" t="str">
        <f>"5th largest increase: "&amp;VLOOKUP(A106,Table5!Q:R,2,FALSE)&amp;" ("&amp;TEXT(A106/Table5!$K$111,"#0.0%")&amp;")"</f>
        <v>5th largest increase: PWS Salmon Drift Gillnet (5.0%)</v>
      </c>
    </row>
    <row r="107" spans="1:7" ht="15">
      <c r="A107" s="118">
        <f>LARGE(Table5!Q:Q,6)</f>
        <v>13</v>
      </c>
      <c r="B107" s="118" t="str">
        <f>"6th largest increase: "&amp;VLOOKUP(A107,Table5!Q:R,2,FALSE)&amp;" ("&amp;TEXT(A107/Table5!$K$111,"#0.0%")&amp;")"</f>
        <v>6th largest increase: Cook Inlet Herring Seine (4.3%)</v>
      </c>
      <c r="C107" s="118"/>
      <c r="D107" s="118"/>
      <c r="E107" s="118"/>
      <c r="F107" s="118"/>
      <c r="G107" s="118"/>
    </row>
    <row r="108" spans="1:7" ht="15">
      <c r="A108" s="120"/>
      <c r="B108" s="115" t="s">
        <v>112</v>
      </c>
      <c r="C108" s="120"/>
      <c r="D108" s="120"/>
      <c r="E108" s="120"/>
      <c r="F108" s="120"/>
      <c r="G108" s="120"/>
    </row>
    <row r="109" spans="1:2" ht="15">
      <c r="A109" s="113">
        <f>COUNTIF(Table5!T:T,"decrease")</f>
        <v>40</v>
      </c>
      <c r="B109" s="113" t="s">
        <v>113</v>
      </c>
    </row>
    <row r="110" spans="1:2" ht="15">
      <c r="A110" s="113">
        <f>COUNTIF(Table5!T:T,"constant")</f>
        <v>12</v>
      </c>
      <c r="B110" s="113" t="s">
        <v>114</v>
      </c>
    </row>
    <row r="111" spans="1:2" ht="15">
      <c r="A111" s="113">
        <f>COUNTIF(Table5!T:T,"increase")</f>
        <v>25</v>
      </c>
      <c r="B111" s="113" t="s">
        <v>115</v>
      </c>
    </row>
    <row r="112" spans="1:2" ht="15">
      <c r="A112" s="112">
        <f>Table5!S111</f>
        <v>-200</v>
      </c>
      <c r="B112" s="113" t="s">
        <v>116</v>
      </c>
    </row>
    <row r="113" spans="1:2" ht="15">
      <c r="A113" s="114">
        <f>A112/A114</f>
        <v>-0.07246376811594203</v>
      </c>
      <c r="B113" s="113" t="s">
        <v>116</v>
      </c>
    </row>
    <row r="114" spans="1:2" ht="15">
      <c r="A114" s="112">
        <f>Table1!L112</f>
        <v>2760</v>
      </c>
      <c r="B114" s="113" t="s">
        <v>117</v>
      </c>
    </row>
    <row r="115" spans="1:2" ht="15">
      <c r="A115" s="113">
        <f>LARGE(Table5!U:U,1)</f>
        <v>155</v>
      </c>
      <c r="B115" s="113" t="str">
        <f>"1st largest increase: "&amp;VLOOKUP(A115,Table5!U:V,2,FALSE)&amp;" ("&amp;TEXT(A115/Table5!$K$111,"#0.0%")&amp;")"</f>
        <v>1st largest increase: Bristol Bay Salmon Drift (51.7%)</v>
      </c>
    </row>
    <row r="116" spans="1:2" ht="15">
      <c r="A116" s="113">
        <f>LARGE(Table5!U:U,2)</f>
        <v>87</v>
      </c>
      <c r="B116" s="113" t="str">
        <f>"2nd largest increase: "&amp;VLOOKUP(A116,Table5!U:V,2,FALSE)&amp;" ("&amp;TEXT(A116/Table5!$K$111,"#0.0%")&amp;")"</f>
        <v>2nd largest increase: Bristol Bay Salmon Setnet (29.0%)</v>
      </c>
    </row>
    <row r="117" spans="1:2" ht="15">
      <c r="A117" s="113">
        <f>LARGE(Table5!U:U,3)</f>
        <v>42</v>
      </c>
      <c r="B117" s="113" t="str">
        <f>"3rd largest increase: "&amp;VLOOKUP(A117,Table5!U:V,2,FALSE)&amp;" ("&amp;TEXT(A117/Table5!$K$111,"#0.0%")&amp;")"</f>
        <v>3rd largest increase: Salmon Hand Troll (14.0%)</v>
      </c>
    </row>
    <row r="118" spans="1:2" ht="15">
      <c r="A118" s="113">
        <f>LARGE(Table5!U:U,4)</f>
        <v>26</v>
      </c>
      <c r="B118" s="113" t="str">
        <f>"4th largest increase: "&amp;VLOOKUP(A118,Table5!U:V,2,FALSE)&amp;" ("&amp;TEXT(A118/Table5!$K$111,"#0.0%")&amp;")"</f>
        <v>4th largest increase: Cook Inlet Salmon Setnet (8.7%)</v>
      </c>
    </row>
    <row r="119" spans="1:2" ht="15">
      <c r="A119" s="113">
        <f>LARGE(Table5!U:U,5)</f>
        <v>23</v>
      </c>
      <c r="B119" s="113" t="str">
        <f>"5th largest increase: "&amp;VLOOKUP(A119,Table5!U:V,2,FALSE)&amp;" ("&amp;TEXT(A119/Table5!$K$111,"#0.0%")&amp;")"</f>
        <v>5th largest increase: Pen/Aleutian Salmon Seine (7.7%)</v>
      </c>
    </row>
    <row r="120" spans="1:2" ht="15">
      <c r="A120" s="113">
        <f>SMALL(Table5!U:U,1)</f>
        <v>-139</v>
      </c>
      <c r="B120" s="113" t="str">
        <f>"1st largest decrease: "&amp;VLOOKUP(A120,Table5!U:V,2,FALSE)&amp;" ("&amp;TEXT(A120/Table5!$K$111,"#0.0%")&amp;")"</f>
        <v>1st largest decrease: Salmon Power Troll (-46.3%)</v>
      </c>
    </row>
    <row r="121" spans="1:2" ht="15">
      <c r="A121" s="113">
        <f>SMALL(Table5!U:U,2)</f>
        <v>-81</v>
      </c>
      <c r="B121" s="113" t="str">
        <f>"2nd largest decrease: "&amp;VLOOKUP(A121,Table5!U:V,2,FALSE)&amp;" ("&amp;TEXT(A121/Table5!$K$111,"#0.0%")&amp;")"</f>
        <v>2nd largest decrease: Kodiak Salmon Seine (-27.0%)</v>
      </c>
    </row>
    <row r="122" spans="1:2" ht="15">
      <c r="A122" s="113">
        <f>SMALL(Table5!U:U,3)</f>
        <v>-66</v>
      </c>
      <c r="B122" s="113" t="str">
        <f>"3rd largest decrease: "&amp;VLOOKUP(A122,Table5!U:V,2,FALSE)&amp;" ("&amp;TEXT(A122/Table5!$K$111,"#0.0%")&amp;")"</f>
        <v>3rd largest decrease: Cook Inlet Salmon Drift (-22.0%)</v>
      </c>
    </row>
    <row r="123" spans="1:2" ht="15">
      <c r="A123" s="113">
        <f>SMALL(Table5!U:U,4)</f>
        <v>-61</v>
      </c>
      <c r="B123" s="113" t="str">
        <f>"4th largest decrease: "&amp;VLOOKUP(A123,Table5!U:V,2,FALSE)&amp;" ("&amp;TEXT(A123/Table5!$K$111,"#0.0%")&amp;")"</f>
        <v>4th largest decrease: PWS Salmon Drift Gillnet (-20.3%)</v>
      </c>
    </row>
    <row r="124" spans="1:6" ht="15">
      <c r="A124" s="118">
        <f>SMALL(Table5!U:U,5)</f>
        <v>-48</v>
      </c>
      <c r="B124" s="118" t="str">
        <f>"5th largest decrease: "&amp;VLOOKUP(A124,Table5!U:V,2,FALSE)&amp;" ("&amp;TEXT(A124/Table5!$K$111,"#0.0%")&amp;")"</f>
        <v>5th largest decrease: SE Salmon Drift Gillnet (-16.0%)</v>
      </c>
      <c r="C124" s="118"/>
      <c r="D124" s="118"/>
      <c r="E124" s="118"/>
      <c r="F124" s="118"/>
    </row>
    <row r="125" spans="1:6" ht="15">
      <c r="A125" s="120"/>
      <c r="B125" s="123" t="s">
        <v>118</v>
      </c>
      <c r="C125" s="120"/>
      <c r="D125" s="120"/>
      <c r="E125" s="120"/>
      <c r="F125" s="120"/>
    </row>
    <row r="126" spans="1:6" ht="15">
      <c r="A126" s="119">
        <f>MAX(Table6!38:38)</f>
        <v>11235</v>
      </c>
      <c r="B126" s="120" t="s">
        <v>119</v>
      </c>
      <c r="C126" s="120"/>
      <c r="D126" s="120"/>
      <c r="E126" s="120"/>
      <c r="F126" s="120"/>
    </row>
    <row r="127" ht="15">
      <c r="B127" s="116" t="s">
        <v>120</v>
      </c>
    </row>
    <row r="128" ht="15">
      <c r="B128" s="115" t="s">
        <v>83</v>
      </c>
    </row>
    <row r="129" spans="1:2" ht="15">
      <c r="A129" s="113">
        <f>Table7!C110</f>
        <v>-925</v>
      </c>
      <c r="B129" s="113" t="s">
        <v>121</v>
      </c>
    </row>
    <row r="130" spans="1:2" ht="15">
      <c r="A130" s="113">
        <f>COUNTIF(Table7!D:D,"increase")</f>
        <v>9</v>
      </c>
      <c r="B130" s="113" t="s">
        <v>122</v>
      </c>
    </row>
    <row r="131" spans="1:2" ht="15">
      <c r="A131" s="113">
        <f>COUNTIF(Table7!D:D,"decrease")</f>
        <v>43</v>
      </c>
      <c r="B131" s="113" t="s">
        <v>123</v>
      </c>
    </row>
    <row r="132" spans="1:2" ht="15">
      <c r="A132" s="113">
        <f>COUNTIF(Table7!D:D,"constant")</f>
        <v>12</v>
      </c>
      <c r="B132" s="113" t="s">
        <v>124</v>
      </c>
    </row>
    <row r="133" spans="1:2" ht="15">
      <c r="A133" s="113">
        <f>SMALL(Table7!E:E,1)</f>
        <v>-126</v>
      </c>
      <c r="B133" s="113" t="str">
        <f>"1st largest ARL decrease: "&amp;VLOOKUP(A133,Table7!E:F,2,FALSE)&amp;" ("&amp;TEXT(A133/Table7!C$110,"#0.0%")&amp;")"</f>
        <v>1st largest ARL decrease: Bristol Bay Salmon Setnet (13.6%)</v>
      </c>
    </row>
    <row r="134" spans="1:2" ht="15">
      <c r="A134" s="113">
        <f>SMALL(Table7!E:E,2)</f>
        <v>-111</v>
      </c>
      <c r="B134" s="113" t="str">
        <f>"2nd largest ARL decrease: "&amp;VLOOKUP(A134,Table7!E:F,2,FALSE)&amp;" ("&amp;TEXT(A134/Table7!C$110,"#0.0%")&amp;")"</f>
        <v>2nd largest ARL decrease: Lower Yukon Salmon Gillnet (12.0%)</v>
      </c>
    </row>
    <row r="135" spans="1:2" ht="15">
      <c r="A135" s="113">
        <f>SMALL(Table7!E:E,3)</f>
        <v>-78</v>
      </c>
      <c r="B135" s="113" t="str">
        <f>"3rd largest ARL decrease: "&amp;VLOOKUP(A135,Table7!E:F,2,FALSE)&amp;" ("&amp;TEXT(A135/Table7!C$110,"#0.0%")&amp;")"</f>
        <v>3rd largest ARL decrease: Salmon Hand Troll (8.4%)</v>
      </c>
    </row>
    <row r="136" spans="1:2" ht="15">
      <c r="A136" s="113">
        <f>SMALL(Table7!E:E,4)</f>
        <v>-71</v>
      </c>
      <c r="B136" s="113" t="str">
        <f>"4th largest ARL decrease: "&amp;VLOOKUP(A136,Table7!E:F,2,FALSE)&amp;" ("&amp;TEXT(A136/Table7!C$110,"#0.0%")&amp;")"</f>
        <v>4th largest ARL decrease: Kuskokwim Salmon Gillnet (7.7%)</v>
      </c>
    </row>
    <row r="137" spans="1:2" ht="15">
      <c r="A137" s="113">
        <f>SMALL(Table7!E:E,5)</f>
        <v>-65</v>
      </c>
      <c r="B137" s="113" t="str">
        <f>"5th largest decrease: "&amp;VLOOKUP(A137,Table7!E:F,2,FALSE)&amp;" ("&amp;TEXT(A137/Table7!C$110,"#0.0%")&amp;")"</f>
        <v>5th largest decrease: Salmon Power Troll (7.0%)</v>
      </c>
    </row>
    <row r="138" spans="1:2" ht="15">
      <c r="A138" s="113">
        <f>LARGE(Table7!E:E,1)</f>
        <v>22</v>
      </c>
      <c r="B138" s="113" t="str">
        <f>"1st largest ARL increase: "&amp;VLOOKUP(A138,Table7!E:F,2,FALSE)&amp;" ("&amp;TEXT(A138/Table7!C$110,"#0.0%")&amp;")"</f>
        <v>1st largest ARL increase: SE Salmon Drift Gillnet (-2.4%)</v>
      </c>
    </row>
    <row r="139" spans="1:2" ht="15">
      <c r="A139" s="113">
        <f>LARGE(Table7!E:E,2)</f>
        <v>11</v>
      </c>
      <c r="B139" s="113" t="str">
        <f>"2nd largest ARL increase: "&amp;VLOOKUP(A139,Table7!E:F,2,FALSE)&amp;" ("&amp;TEXT(A139/Table7!C$110,"#0.0%")&amp;")"</f>
        <v>2nd largest ARL increase: Cook Inlet Salmon Setnet (-1.2%)</v>
      </c>
    </row>
    <row r="140" spans="1:2" ht="15">
      <c r="A140" s="113">
        <f>LARGE(Table7!E:E,3)</f>
        <v>8</v>
      </c>
      <c r="B140" s="113" t="str">
        <f>"3rd largest ARL increase: "&amp;VLOOKUP(A140,Table7!E:F,2,FALSE)&amp;" ("&amp;TEXT(A140/Table7!C$110,"#0.0%")&amp;")"</f>
        <v>3rd largest ARL increase: Cook Inlet Salmon Drift (-0.9%)</v>
      </c>
    </row>
    <row r="141" spans="1:2" ht="15">
      <c r="A141" s="113">
        <f>LARGE(Table7!E:E,4)</f>
        <v>7</v>
      </c>
      <c r="B141" s="113" t="str">
        <f>"4th largest ARL increase: "&amp;VLOOKUP(A141,Table7!E:F,2,FALSE)&amp;" ("&amp;TEXT(A141/Table7!C$110,"#0.0%")&amp;")"</f>
        <v>4th largest ARL increase: Chignik Salmon Seine (-0.8%)</v>
      </c>
    </row>
    <row r="142" spans="1:7" ht="15">
      <c r="A142" s="118">
        <f>LARGE(Table7!E:E,5)</f>
        <v>2</v>
      </c>
      <c r="B142" s="118" t="str">
        <f>"5th largest ARL increase: "&amp;VLOOKUP(A142,Table7!E:F,2,FALSE)&amp;" ("&amp;TEXT(A142/Table7!C$110,"#0.0%")&amp;")"</f>
        <v>5th largest ARL increase: SE Tanner Crab Pot (-0.2%)</v>
      </c>
      <c r="C142" s="118"/>
      <c r="D142" s="118"/>
      <c r="E142" s="118"/>
      <c r="F142" s="118"/>
      <c r="G142" s="118"/>
    </row>
    <row r="143" ht="15">
      <c r="B143" s="115" t="s">
        <v>93</v>
      </c>
    </row>
    <row r="144" spans="1:2" ht="15">
      <c r="A144" s="113">
        <f>Table7!G110</f>
        <v>-2</v>
      </c>
      <c r="B144" s="113" t="s">
        <v>125</v>
      </c>
    </row>
    <row r="145" spans="1:2" ht="15">
      <c r="A145" s="113">
        <f>COUNTIF(Table7!H:H,"increase")</f>
        <v>25</v>
      </c>
      <c r="B145" s="113" t="s">
        <v>126</v>
      </c>
    </row>
    <row r="146" spans="1:2" ht="15">
      <c r="A146" s="113">
        <f>COUNTIF(Table7!H:H,"decrease")</f>
        <v>25</v>
      </c>
      <c r="B146" s="113" t="s">
        <v>127</v>
      </c>
    </row>
    <row r="147" spans="1:2" ht="15">
      <c r="A147" s="113">
        <f>COUNTIF(Table7!H:H,"constant")</f>
        <v>14</v>
      </c>
      <c r="B147" s="113" t="s">
        <v>128</v>
      </c>
    </row>
    <row r="148" spans="1:2" ht="15">
      <c r="A148" s="113">
        <f>SMALL(Table7!I:I,1)</f>
        <v>-28</v>
      </c>
      <c r="B148" s="113" t="str">
        <f>"1st largest ARN decrease: "&amp;VLOOKUP(A148,Table7!I:J,2,FALSE)&amp;" ("&amp;TEXT(A148/Table7!G$110,"#0.0%")&amp;")"</f>
        <v>1st largest ARN decrease: PWS Salmon Drift Gillnet (1400.0%)</v>
      </c>
    </row>
    <row r="149" spans="1:2" ht="15">
      <c r="A149" s="113">
        <f>SMALL(Table7!I:I,2)</f>
        <v>-26</v>
      </c>
      <c r="B149" s="113" t="str">
        <f>"2nd largest ARN decrease: "&amp;VLOOKUP(A149,Table7!I:J,2,FALSE)&amp;" ("&amp;TEXT(A149/Table7!G$110,"#0.0%")&amp;")"</f>
        <v>2nd largest ARN decrease: Bristol Bay Salmon Drift (1300.0%)</v>
      </c>
    </row>
    <row r="150" spans="1:2" ht="15">
      <c r="A150" s="113">
        <f>SMALL(Table7!I:I,3)</f>
        <v>-10</v>
      </c>
      <c r="B150" s="113" t="str">
        <f>"3rd largest ARN decrease: "&amp;VLOOKUP(A150,Table7!I:J,2,FALSE)&amp;" ("&amp;TEXT(A150/Table7!G$110,"#0.0%")&amp;")"</f>
        <v>3rd largest ARN decrease: SE Salmon Drift Gillnet (500.0%)</v>
      </c>
    </row>
    <row r="151" spans="1:2" ht="15">
      <c r="A151" s="113">
        <f>SMALL(Table7!I:I,4)</f>
        <v>-10</v>
      </c>
      <c r="B151" s="113" t="str">
        <f>"4th largest ARN decrease: "&amp;VLOOKUP(A151,Table7!I:J,2,FALSE)&amp;" ("&amp;TEXT(A151/Table7!G$110,"#0.0%")&amp;")"</f>
        <v>4th largest ARN decrease: SE Salmon Drift Gillnet (500.0%)</v>
      </c>
    </row>
    <row r="152" spans="1:2" ht="15">
      <c r="A152" s="113">
        <f>SMALL(Table7!I:I,5)</f>
        <v>-9</v>
      </c>
      <c r="B152" s="113" t="str">
        <f>"5th largest decrease: "&amp;VLOOKUP(A152,Table7!I:J,2,FALSE)&amp;" ("&amp;TEXT(A152/Table7!G$110,"#0.0%")&amp;")"</f>
        <v>5th largest decrease: Goodnews Bay Her Gillnet (450.0%)</v>
      </c>
    </row>
    <row r="153" spans="1:2" ht="15">
      <c r="A153" s="113">
        <f>LARGE(Table7!I:I,1)</f>
        <v>36</v>
      </c>
      <c r="B153" s="113" t="str">
        <f>"1st largest ARN increase: "&amp;VLOOKUP(A153,Table7!I:J,2,FALSE)&amp;" ("&amp;TEXT(A153/Table7!G$110,"#0.0%")&amp;")"</f>
        <v>1st largest ARN increase: Lower Yukon Salmon Gillnet (-1800.0%)</v>
      </c>
    </row>
    <row r="154" spans="1:2" ht="15">
      <c r="A154" s="113">
        <f>LARGE(Table7!I:I,2)</f>
        <v>9</v>
      </c>
      <c r="B154" s="113" t="str">
        <f>"2nd largest ARN increase: "&amp;VLOOKUP(A154,Table7!I:J,2,FALSE)&amp;" ("&amp;TEXT(A154/Table7!G$110,"#0.0%")&amp;")"</f>
        <v>2nd largest ARN increase: Kuskokwim Salmon Gillnet (-450.0%)</v>
      </c>
    </row>
    <row r="155" spans="1:2" ht="15">
      <c r="A155" s="113">
        <f>LARGE(Table7!I:I,3)</f>
        <v>9</v>
      </c>
      <c r="B155" s="113" t="str">
        <f>"3rd largest ARN increase: "&amp;VLOOKUP(A155,Table7!I:J,2,FALSE)&amp;" ("&amp;TEXT(A155/Table7!G$110,"#0.0%")&amp;")"</f>
        <v>3rd largest ARN increase: Kuskokwim Salmon Gillnet (-450.0%)</v>
      </c>
    </row>
    <row r="156" spans="1:2" ht="15">
      <c r="A156" s="113">
        <f>LARGE(Table7!I:I,4)</f>
        <v>7</v>
      </c>
      <c r="B156" s="113" t="str">
        <f>"4th largest ARN increase: "&amp;VLOOKUP(A156,Table7!I:J,2,FALSE)&amp;" ("&amp;TEXT(A156/Table7!G$110,"#0.0%")&amp;")"</f>
        <v>4th largest ARN increase: Kodiak Salmon Seine (-350.0%)</v>
      </c>
    </row>
    <row r="157" spans="1:4" ht="15">
      <c r="A157" s="118">
        <f>LARGE(Table7!I:I,5)</f>
        <v>7</v>
      </c>
      <c r="B157" s="118" t="str">
        <f>"5th largest ARN increase: "&amp;VLOOKUP(A157,Table7!I:J,2,FALSE)&amp;" ("&amp;TEXT(A157/Table7!G$110,"#0.0%")&amp;")"</f>
        <v>5th largest ARN increase: Kodiak Salmon Seine (-350.0%)</v>
      </c>
      <c r="C157" s="118"/>
      <c r="D157" s="118"/>
    </row>
    <row r="158" ht="15">
      <c r="B158" s="115" t="s">
        <v>100</v>
      </c>
    </row>
    <row r="159" spans="1:2" ht="15">
      <c r="A159" s="113">
        <f>Table7!K110</f>
        <v>-322</v>
      </c>
      <c r="B159" s="113" t="s">
        <v>129</v>
      </c>
    </row>
    <row r="160" spans="1:2" ht="15">
      <c r="A160" s="113">
        <f>COUNTIF(Table7!L:L,"increase")</f>
        <v>13</v>
      </c>
      <c r="B160" s="113" t="s">
        <v>130</v>
      </c>
    </row>
    <row r="161" spans="1:2" ht="15">
      <c r="A161" s="113">
        <f>COUNTIF(Table7!L:L,"decrease")</f>
        <v>25</v>
      </c>
      <c r="B161" s="113" t="s">
        <v>131</v>
      </c>
    </row>
    <row r="162" spans="1:2" ht="15">
      <c r="A162" s="113">
        <f>COUNTIF(Table7!L:L,"constant")</f>
        <v>26</v>
      </c>
      <c r="B162" s="113" t="s">
        <v>132</v>
      </c>
    </row>
    <row r="163" spans="1:2" ht="15">
      <c r="A163" s="113">
        <f>SMALL(Table7!M:M,1)</f>
        <v>-67</v>
      </c>
      <c r="B163" s="113" t="str">
        <f>"1st largest AUL decrease: "&amp;VLOOKUP(A163,Table7!M:N,2,FALSE)&amp;" ("&amp;TEXT(A163/Table7!K$110,"#0.0%")&amp;")"</f>
        <v>1st largest AUL decrease: Kodiak Salmon Seine (20.8%)</v>
      </c>
    </row>
    <row r="164" spans="1:2" ht="15">
      <c r="A164" s="113">
        <f>SMALL(Table7!M:M,2)</f>
        <v>-67</v>
      </c>
      <c r="B164" s="113" t="str">
        <f>"2nd largest AUL decrease: "&amp;VLOOKUP(A164,Table7!M:N,2,FALSE)&amp;" ("&amp;TEXT(A164/Table7!K$110,"#0.0%")&amp;")"</f>
        <v>2nd largest AUL decrease: Kodiak Salmon Seine (20.8%)</v>
      </c>
    </row>
    <row r="165" spans="1:2" ht="15">
      <c r="A165" s="113">
        <f>SMALL(Table7!M:M,3)</f>
        <v>-53</v>
      </c>
      <c r="B165" s="113" t="str">
        <f>"3rd largest AUL decrease: "&amp;VLOOKUP(A165,Table7!M:N,2,FALSE)&amp;" ("&amp;TEXT(A165/Table7!K$110,"#0.0%")&amp;")"</f>
        <v>3rd largest AUL decrease: Cook Inlet Salmon Setnet (16.5%)</v>
      </c>
    </row>
    <row r="166" spans="1:2" ht="15">
      <c r="A166" s="113">
        <f>SMALL(Table7!M:M,4)</f>
        <v>-52</v>
      </c>
      <c r="B166" s="113" t="str">
        <f>"4th largest AUL decrease: "&amp;VLOOKUP(A166,Table7!M:N,2,FALSE)&amp;" ("&amp;TEXT(A166/Table7!K$110,"#0.0%")&amp;")"</f>
        <v>4th largest AUL decrease: Cook Inlet Salmon Drift (16.1%)</v>
      </c>
    </row>
    <row r="167" spans="1:2" ht="15">
      <c r="A167" s="113">
        <f>SMALL(Table7!M:M,5)</f>
        <v>-32</v>
      </c>
      <c r="B167" s="113" t="str">
        <f>"5th largest decrease: "&amp;VLOOKUP(A167,Table7!M:N,2,FALSE)&amp;" ("&amp;TEXT(A167/Table7!K$110,"#0.0%")&amp;")"</f>
        <v>5th largest decrease: Kodiak Salmon Setnet (9.9%)</v>
      </c>
    </row>
    <row r="168" spans="1:2" ht="15">
      <c r="A168" s="113">
        <f>LARGE(Table7!M:M,1)</f>
        <v>26</v>
      </c>
      <c r="B168" s="113" t="str">
        <f>"1st largest AUL increase: "&amp;VLOOKUP(A168,Table7!M:N,2,FALSE)&amp;" ("&amp;TEXT(A168/Table7!K$110,"#0.0%")&amp;")"</f>
        <v>1st largest AUL increase: Salmon Power Troll (-8.1%)</v>
      </c>
    </row>
    <row r="169" spans="1:2" ht="15">
      <c r="A169" s="113">
        <f>LARGE(Table7!M:M,2)</f>
        <v>16</v>
      </c>
      <c r="B169" s="113" t="str">
        <f>"2nd largest AUL increase: "&amp;VLOOKUP(A169,Table7!M:N,2,FALSE)&amp;" ("&amp;TEXT(A169/Table7!K$110,"#0.0%")&amp;")"</f>
        <v>2nd largest AUL increase: U Yukon Salmon Fish Wheel (-5.0%)</v>
      </c>
    </row>
    <row r="170" spans="1:2" ht="15">
      <c r="A170" s="113">
        <f>LARGE(Table7!M:M,3)</f>
        <v>14</v>
      </c>
      <c r="B170" s="113" t="str">
        <f>"3rd largest AUL increase: "&amp;VLOOKUP(A170,Table7!M:N,2,FALSE)&amp;" ("&amp;TEXT(A170/Table7!K$110,"#0.0%")&amp;")"</f>
        <v>3rd largest AUL increase: Upper Yukon Salmon Gillnet (-4.3%)</v>
      </c>
    </row>
    <row r="171" spans="1:2" ht="15">
      <c r="A171" s="113">
        <f>LARGE(Table7!M:M,4)</f>
        <v>9</v>
      </c>
      <c r="B171" s="113" t="str">
        <f>"4th largest AUL increase: "&amp;VLOOKUP(A171,Table7!M:N,2,FALSE)&amp;" ("&amp;TEXT(A171/Table7!K$110,"#0.0%")&amp;")"</f>
        <v>4th largest AUL increase: Kuskokwim Salmon Gillnet (-2.8%)</v>
      </c>
    </row>
    <row r="172" spans="1:8" ht="15">
      <c r="A172" s="118">
        <f>LARGE(Table7!M:M,5)</f>
        <v>4</v>
      </c>
      <c r="B172" s="118" t="str">
        <f>"5th largest AUL increase: "&amp;VLOOKUP(A172,Table7!M:N,2,FALSE)&amp;" ("&amp;TEXT(A172/Table7!K$110,"#0.0%")&amp;")"</f>
        <v>5th largest AUL increase: SE Urchin Dive (-1.2%)</v>
      </c>
      <c r="C172" s="118"/>
      <c r="D172" s="118"/>
      <c r="G172" s="118"/>
      <c r="H172" s="118"/>
    </row>
    <row r="173" ht="15">
      <c r="B173" s="115" t="s">
        <v>106</v>
      </c>
    </row>
    <row r="174" spans="1:2" ht="15">
      <c r="A174" s="113">
        <f>Table7!O110</f>
        <v>353</v>
      </c>
      <c r="B174" s="113" t="s">
        <v>133</v>
      </c>
    </row>
    <row r="175" spans="1:2" ht="15">
      <c r="A175" s="113">
        <f>COUNTIF(Table7!P:P,"increase")</f>
        <v>38</v>
      </c>
      <c r="B175" s="113" t="s">
        <v>134</v>
      </c>
    </row>
    <row r="176" spans="1:2" ht="15">
      <c r="A176" s="113">
        <f>COUNTIF(Table7!P:P,"decrease")</f>
        <v>14</v>
      </c>
      <c r="B176" s="113" t="s">
        <v>135</v>
      </c>
    </row>
    <row r="177" spans="1:2" ht="15">
      <c r="A177" s="113">
        <f>COUNTIF(Table7!P:P,"constant")</f>
        <v>12</v>
      </c>
      <c r="B177" s="113" t="s">
        <v>136</v>
      </c>
    </row>
    <row r="178" spans="1:2" ht="15">
      <c r="A178" s="113">
        <f>SMALL(Table7!Q:Q,1)</f>
        <v>-23</v>
      </c>
      <c r="B178" s="113" t="str">
        <f>"1st largest AUN decrease: "&amp;VLOOKUP(A178,Table7!Q:R,2,FALSE)&amp;" ("&amp;TEXT(A178/Table7!O$110,"#0.0%")&amp;")"</f>
        <v>1st largest AUN decrease: Bristol Bay Salmon Drift (-6.5%)</v>
      </c>
    </row>
    <row r="179" spans="1:2" ht="15">
      <c r="A179" s="113">
        <f>SMALL(Table7!Q:Q,2)</f>
        <v>-17</v>
      </c>
      <c r="B179" s="113" t="str">
        <f>"2nd largest AUN decrease: "&amp;VLOOKUP(A179,Table7!Q:R,2,FALSE)&amp;" ("&amp;TEXT(A179/Table7!O$110,"#0.0%")&amp;")"</f>
        <v>2nd largest AUN decrease: Cook Inlet Herring Seine (-4.8%)</v>
      </c>
    </row>
    <row r="180" spans="1:2" ht="15">
      <c r="A180" s="113">
        <f>SMALL(Table7!Q:Q,3)</f>
        <v>-14</v>
      </c>
      <c r="B180" s="113" t="str">
        <f>"3rd largest AUN decrease: "&amp;VLOOKUP(A180,Table7!Q:R,2,FALSE)&amp;" ("&amp;TEXT(A180/Table7!O$110,"#0.0%")&amp;")"</f>
        <v>3rd largest AUN decrease: Cook Inlet Salmon Setnet (-4.0%)</v>
      </c>
    </row>
    <row r="181" spans="1:2" ht="15">
      <c r="A181" s="113">
        <f>SMALL(Table7!Q:Q,4)</f>
        <v>-8</v>
      </c>
      <c r="B181" s="113" t="str">
        <f>"4th largest AUN decrease: "&amp;VLOOKUP(A181,Table7!Q:R,2,FALSE)&amp;" ("&amp;TEXT(A181/Table7!O$110,"#0.0%")&amp;")"</f>
        <v>4th largest AUN decrease: Chignik Salmon Seine (-2.3%)</v>
      </c>
    </row>
    <row r="182" spans="1:2" ht="15">
      <c r="A182" s="113">
        <f>SMALL(Table7!Q:Q,5)</f>
        <v>-7</v>
      </c>
      <c r="B182" s="113" t="str">
        <f>"5th largest decrease: "&amp;VLOOKUP(A182,Table7!Q:R,2,FALSE)&amp;" ("&amp;TEXT(A182/Table7!O$110,"#0.0%")&amp;")"</f>
        <v>5th largest decrease: Pen/Aleutian Salmon Drift (-2.0%)</v>
      </c>
    </row>
    <row r="183" spans="1:2" ht="15">
      <c r="A183" s="113">
        <f>LARGE(Table7!Q:Q,1)</f>
        <v>62</v>
      </c>
      <c r="B183" s="113" t="str">
        <f>"1st largest AUN increase: "&amp;VLOOKUP(A183,Table7!Q:R,2,FALSE)&amp;" ("&amp;TEXT(A183/Table7!O$110,"#0.0%")&amp;")"</f>
        <v>1st largest AUN increase: Lower Yukon Salmon Gillnet (17.6%)</v>
      </c>
    </row>
    <row r="184" spans="1:2" ht="15">
      <c r="A184" s="113">
        <f>LARGE(Table7!Q:Q,2)</f>
        <v>48</v>
      </c>
      <c r="B184" s="113" t="str">
        <f>"2nd largest AUN increase: "&amp;VLOOKUP(A184,Table7!Q:R,2,FALSE)&amp;" ("&amp;TEXT(A184/Table7!O$110,"#0.0%")&amp;")"</f>
        <v>2nd largest AUN increase: Bristol Bay Salmon Setnet (13.6%)</v>
      </c>
    </row>
    <row r="185" spans="1:2" ht="15">
      <c r="A185" s="113">
        <f>LARGE(Table7!Q:Q,3)</f>
        <v>44</v>
      </c>
      <c r="B185" s="113" t="str">
        <f>"3rd largest AUN increase: "&amp;VLOOKUP(A185,Table7!Q:R,2,FALSE)&amp;" ("&amp;TEXT(A185/Table7!O$110,"#0.0%")&amp;")"</f>
        <v>3rd largest AUN increase: Kuskokwim Salmon Gillnet (12.5%)</v>
      </c>
    </row>
    <row r="186" spans="1:2" ht="15">
      <c r="A186" s="113">
        <f>LARGE(Table7!Q:Q,4)</f>
        <v>34</v>
      </c>
      <c r="B186" s="113" t="str">
        <f>"4th largest AUN increase: "&amp;VLOOKUP(A186,Table7!Q:R,2,FALSE)&amp;" ("&amp;TEXT(A186/Table7!O$110,"#0.0%")&amp;")"</f>
        <v>4th largest AUN increase: PWS Salmon Drift Gillnet (9.6%)</v>
      </c>
    </row>
    <row r="187" spans="1:2" ht="15">
      <c r="A187" s="118">
        <f>LARGE(Table7!Q:Q,5)</f>
        <v>28</v>
      </c>
      <c r="B187" s="118" t="str">
        <f>"5th largest AUN increase: "&amp;VLOOKUP(A187,Table7!Q:R,2,FALSE)&amp;" ("&amp;TEXT(A187/Table7!O$110,"#0.0%")&amp;")"</f>
        <v>5th largest AUN increase: Kotzebue Salmon Gillnet (7.9%)</v>
      </c>
    </row>
    <row r="188" ht="15">
      <c r="B188" s="115" t="s">
        <v>112</v>
      </c>
    </row>
    <row r="189" spans="1:2" ht="15">
      <c r="A189" s="113">
        <f>Table7!S110</f>
        <v>896</v>
      </c>
      <c r="B189" s="113" t="s">
        <v>137</v>
      </c>
    </row>
    <row r="190" spans="1:2" ht="15">
      <c r="A190" s="113">
        <f>COUNTIF(Table7!T:T,"increase")</f>
        <v>54</v>
      </c>
      <c r="B190" s="113" t="s">
        <v>138</v>
      </c>
    </row>
    <row r="191" spans="1:2" ht="15">
      <c r="A191" s="113">
        <f>COUNTIF(Table7!T:T,"decrease")</f>
        <v>6</v>
      </c>
      <c r="B191" s="113" t="s">
        <v>139</v>
      </c>
    </row>
    <row r="192" spans="1:2" ht="15">
      <c r="A192" s="113">
        <f>COUNTIF(Table7!T:T,"constant")</f>
        <v>4</v>
      </c>
      <c r="B192" s="113" t="s">
        <v>140</v>
      </c>
    </row>
    <row r="193" spans="1:2" ht="15">
      <c r="A193" s="113">
        <f>SMALL(Table7!U:U,1)</f>
        <v>-3</v>
      </c>
      <c r="B193" s="113" t="str">
        <f>"1st largest Nonresident decrease: "&amp;VLOOKUP(A193,Table7!U:V,2,FALSE)&amp;" ("&amp;TEXT(A193/Table7!S$110,"#0.0%")&amp;")"</f>
        <v>1st largest Nonresident decrease: SE Salmon Drift Gillnet (-0.3%)</v>
      </c>
    </row>
    <row r="194" spans="1:2" ht="15">
      <c r="A194" s="113">
        <f>SMALL(Table7!U:U,2)</f>
        <v>-3</v>
      </c>
      <c r="B194" s="113" t="str">
        <f>"2nd largest Nonresident decrease: "&amp;VLOOKUP(A194,Table7!U:V,2,FALSE)&amp;" ("&amp;TEXT(A194/Table7!S$110,"#0.0%")&amp;")"</f>
        <v>2nd largest Nonresident decrease: SE Salmon Drift Gillnet (-0.3%)</v>
      </c>
    </row>
    <row r="195" spans="1:2" ht="15">
      <c r="A195" s="113">
        <f>SMALL(Table7!U:U,3)</f>
        <v>-2</v>
      </c>
      <c r="B195" s="113" t="str">
        <f>"3rd largest Nonresident decrease: "&amp;VLOOKUP(A195,Table7!U:V,2,FALSE)&amp;" ("&amp;TEXT(A195/Table7!S$110,"#0.0%")&amp;")"</f>
        <v>3rd largest Nonresident decrease: Pen/Aleutian Salmon Seine (-0.2%)</v>
      </c>
    </row>
    <row r="196" spans="1:2" ht="15">
      <c r="A196" s="113">
        <f>SMALL(Table7!U:U,4)</f>
        <v>-2</v>
      </c>
      <c r="B196" s="113" t="str">
        <f>"4th largest Nonresident decrease: "&amp;VLOOKUP(A196,Table7!U:V,2,FALSE)&amp;" ("&amp;TEXT(A196/Table7!S$110,"#0.0%")&amp;")"</f>
        <v>4th largest Nonresident decrease: Pen/Aleutian Salmon Seine (-0.2%)</v>
      </c>
    </row>
    <row r="197" spans="1:2" ht="15">
      <c r="A197" s="113">
        <f>SMALL(Table7!U:U,5)</f>
        <v>-1</v>
      </c>
      <c r="B197" s="113" t="str">
        <f>"5th largest decrease: "&amp;VLOOKUP(A197,Table7!U:V,2,FALSE)&amp;" ("&amp;TEXT(A197/Table7!S$110,"#0.0%")&amp;")"</f>
        <v>5th largest decrease: Kodiak Roe Her Seine/Gill (-0.1%)</v>
      </c>
    </row>
    <row r="198" spans="1:2" ht="15">
      <c r="A198" s="113">
        <f>LARGE(Table7!U:U,1)</f>
        <v>115</v>
      </c>
      <c r="B198" s="113" t="str">
        <f>"1st largest Nonresident increase: "&amp;VLOOKUP(A198,Table7!U:V,2,FALSE)&amp;" ("&amp;TEXT(A198/Table7!S$110,"#0.0%")&amp;")"</f>
        <v>1st largest Nonresident increase: Salmon Hand Troll (12.8%)</v>
      </c>
    </row>
    <row r="199" spans="1:2" ht="15">
      <c r="A199" s="113">
        <f>LARGE(Table7!U:U,2)</f>
        <v>114</v>
      </c>
      <c r="B199" s="113" t="str">
        <f>"2nd largest Nonresident increase: "&amp;VLOOKUP(A199,Table7!U:V,2,FALSE)&amp;" ("&amp;TEXT(A199/Table7!S$110,"#0.0%")&amp;")"</f>
        <v>2nd largest Nonresident increase: Bristol Bay Salmon Drift (12.7%)</v>
      </c>
    </row>
    <row r="200" spans="1:2" ht="15">
      <c r="A200" s="113">
        <f>LARGE(Table7!U:U,3)</f>
        <v>83</v>
      </c>
      <c r="B200" s="113" t="str">
        <f>"3rd largest Nonresident increase: "&amp;VLOOKUP(A200,Table7!U:V,2,FALSE)&amp;" ("&amp;TEXT(A200/Table7!S$110,"#0.0%")&amp;")"</f>
        <v>3rd largest Nonresident increase: Bristol Bay Salmon Setnet (9.3%)</v>
      </c>
    </row>
    <row r="201" spans="1:2" ht="15">
      <c r="A201" s="113">
        <f>LARGE(Table7!U:U,4)</f>
        <v>66</v>
      </c>
      <c r="B201" s="113" t="str">
        <f>"4th largest Nonresident increase: "&amp;VLOOKUP(A201,Table7!U:V,2,FALSE)&amp;" ("&amp;TEXT(A201/Table7!S$110,"#0.0%")&amp;")"</f>
        <v>4th largest Nonresident increase: Kodiak Salmon Seine (7.4%)</v>
      </c>
    </row>
    <row r="202" spans="1:2" ht="15">
      <c r="A202" s="118">
        <f>LARGE(Table7!U:U,5)</f>
        <v>51</v>
      </c>
      <c r="B202" s="118" t="str">
        <f>"5th largest Nonresident increase: "&amp;VLOOKUP(A202,Table7!U:V,2,FALSE)&amp;" ("&amp;TEXT(A202/Table7!S$110,"#0.0%")&amp;")"</f>
        <v>5th largest Nonresident increase: Cook Inlet Salmon Setnet (5.7%)</v>
      </c>
    </row>
    <row r="203" ht="15">
      <c r="B203" s="116" t="s">
        <v>141</v>
      </c>
    </row>
    <row r="204" ht="15">
      <c r="B204" s="115" t="s">
        <v>83</v>
      </c>
    </row>
    <row r="205" spans="1:2" ht="15">
      <c r="A205" s="112">
        <f>Table1!C112</f>
        <v>7603</v>
      </c>
      <c r="B205" s="113" t="s">
        <v>142</v>
      </c>
    </row>
    <row r="206" spans="1:2" ht="15">
      <c r="A206" s="114">
        <f>A205/Table1!$N$112</f>
        <v>0.45989595935156063</v>
      </c>
      <c r="B206" s="113" t="s">
        <v>143</v>
      </c>
    </row>
    <row r="207" spans="1:2" ht="15">
      <c r="A207" s="112">
        <f>Table2!C111</f>
        <v>5400</v>
      </c>
      <c r="B207" s="113" t="s">
        <v>144</v>
      </c>
    </row>
    <row r="208" spans="1:2" ht="15">
      <c r="A208" s="114">
        <f>A207/Table2!$P$111</f>
        <v>0.37460978147762747</v>
      </c>
      <c r="B208" s="113" t="s">
        <v>145</v>
      </c>
    </row>
    <row r="209" spans="1:2" ht="15">
      <c r="A209" s="112">
        <f>A207-A205</f>
        <v>-2203</v>
      </c>
      <c r="B209" s="113" t="s">
        <v>146</v>
      </c>
    </row>
    <row r="210" spans="1:2" ht="15">
      <c r="A210" s="114">
        <f>A209/A205</f>
        <v>-0.28975404445613573</v>
      </c>
      <c r="B210" s="113" t="s">
        <v>147</v>
      </c>
    </row>
    <row r="211" spans="1:2" ht="15">
      <c r="A211" s="113">
        <f>VLOOKUP("Total",Table8!A:B,2,FALSE)</f>
        <v>-558</v>
      </c>
      <c r="B211" s="113" t="s">
        <v>148</v>
      </c>
    </row>
    <row r="212" spans="1:2" ht="15">
      <c r="A212" s="114">
        <f>A211/A209</f>
        <v>0.25329096686336816</v>
      </c>
      <c r="B212" s="113" t="s">
        <v>149</v>
      </c>
    </row>
    <row r="213" spans="1:2" ht="15">
      <c r="A213" s="113">
        <f>VLOOKUP("Total",Table8!A:C,3,FALSE)</f>
        <v>-925</v>
      </c>
      <c r="B213" s="113" t="s">
        <v>150</v>
      </c>
    </row>
    <row r="214" spans="1:2" ht="15">
      <c r="A214" s="114">
        <f>A213/A209</f>
        <v>0.4198819791193827</v>
      </c>
      <c r="B214" s="113" t="s">
        <v>151</v>
      </c>
    </row>
    <row r="215" spans="1:2" ht="15">
      <c r="A215" s="113">
        <f>VLOOKUP("Total",Table8!A:D,4,FALSE)</f>
        <v>-720</v>
      </c>
      <c r="B215" s="113" t="s">
        <v>152</v>
      </c>
    </row>
    <row r="216" spans="1:5" ht="15">
      <c r="A216" s="121">
        <f>A215/A209</f>
        <v>0.3268270540172492</v>
      </c>
      <c r="B216" s="118" t="s">
        <v>153</v>
      </c>
      <c r="C216" s="118"/>
      <c r="D216" s="118"/>
      <c r="E216" s="118"/>
    </row>
    <row r="217" ht="15">
      <c r="B217" s="115" t="s">
        <v>93</v>
      </c>
    </row>
    <row r="218" spans="1:2" ht="15">
      <c r="A218" s="112">
        <f>Table1!D112</f>
        <v>693</v>
      </c>
      <c r="B218" s="113" t="s">
        <v>154</v>
      </c>
    </row>
    <row r="219" spans="1:2" ht="15">
      <c r="A219" s="114">
        <f>A218/Table1!$N$112</f>
        <v>0.04191870312121945</v>
      </c>
      <c r="B219" s="113" t="s">
        <v>143</v>
      </c>
    </row>
    <row r="220" spans="1:2" ht="15">
      <c r="A220" s="112">
        <f>Table2!D111</f>
        <v>894</v>
      </c>
      <c r="B220" s="113" t="s">
        <v>155</v>
      </c>
    </row>
    <row r="221" spans="1:2" ht="15">
      <c r="A221" s="114">
        <f>A220/Table2!$P$111</f>
        <v>0.06201873048907388</v>
      </c>
      <c r="B221" s="113" t="s">
        <v>156</v>
      </c>
    </row>
    <row r="222" spans="1:2" ht="15">
      <c r="A222" s="112">
        <f>A220-A218</f>
        <v>201</v>
      </c>
      <c r="B222" s="113" t="s">
        <v>146</v>
      </c>
    </row>
    <row r="223" spans="1:2" ht="15">
      <c r="A223" s="114">
        <f>A222/A218</f>
        <v>0.29004329004329005</v>
      </c>
      <c r="B223" s="113" t="s">
        <v>147</v>
      </c>
    </row>
    <row r="224" spans="1:2" ht="15">
      <c r="A224" s="113">
        <f>VLOOKUP("Total",Table8!A:I,6,FALSE)</f>
        <v>289</v>
      </c>
      <c r="B224" s="113" t="s">
        <v>157</v>
      </c>
    </row>
    <row r="225" spans="1:2" ht="15">
      <c r="A225" s="114">
        <f>A224/A222</f>
        <v>1.4378109452736318</v>
      </c>
      <c r="B225" s="113" t="s">
        <v>149</v>
      </c>
    </row>
    <row r="226" spans="1:2" ht="15">
      <c r="A226" s="113">
        <f>VLOOKUP("Total",Table8!A:I,7,FALSE)</f>
        <v>-2</v>
      </c>
      <c r="B226" s="113" t="s">
        <v>158</v>
      </c>
    </row>
    <row r="227" spans="1:2" ht="15">
      <c r="A227" s="114">
        <f>A226/A222</f>
        <v>-0.009950248756218905</v>
      </c>
      <c r="B227" s="113" t="s">
        <v>151</v>
      </c>
    </row>
    <row r="228" spans="1:2" ht="15">
      <c r="A228" s="113">
        <f>VLOOKUP("Total",Table8!A:I,8,FALSE)</f>
        <v>-86</v>
      </c>
      <c r="B228" s="113" t="s">
        <v>159</v>
      </c>
    </row>
    <row r="229" spans="1:5" ht="15">
      <c r="A229" s="121">
        <f>A228/A222</f>
        <v>-0.42786069651741293</v>
      </c>
      <c r="B229" s="118" t="s">
        <v>153</v>
      </c>
      <c r="C229" s="118"/>
      <c r="D229" s="118"/>
      <c r="E229" s="118"/>
    </row>
    <row r="230" ht="15">
      <c r="B230" s="115" t="s">
        <v>100</v>
      </c>
    </row>
    <row r="231" spans="1:2" ht="15">
      <c r="A231" s="112">
        <f>Table1!E112</f>
        <v>4306</v>
      </c>
      <c r="B231" s="113" t="s">
        <v>160</v>
      </c>
    </row>
    <row r="232" spans="1:2" ht="15">
      <c r="A232" s="114">
        <f>A231/Table1!$N$112</f>
        <v>0.2604645535930317</v>
      </c>
      <c r="B232" s="113" t="s">
        <v>143</v>
      </c>
    </row>
    <row r="233" spans="1:2" ht="15">
      <c r="A233" s="112">
        <f>Table2!E111</f>
        <v>3514</v>
      </c>
      <c r="B233" s="113" t="s">
        <v>161</v>
      </c>
    </row>
    <row r="234" spans="1:2" ht="15">
      <c r="A234" s="114">
        <f>A233/Table2!$P$111</f>
        <v>0.2437738466874783</v>
      </c>
      <c r="B234" s="113" t="s">
        <v>156</v>
      </c>
    </row>
    <row r="235" spans="1:2" ht="15">
      <c r="A235" s="112">
        <f>A233-A231</f>
        <v>-792</v>
      </c>
      <c r="B235" s="113" t="s">
        <v>146</v>
      </c>
    </row>
    <row r="236" spans="1:2" ht="15">
      <c r="A236" s="114">
        <f>A235/A231</f>
        <v>-0.18392940083604273</v>
      </c>
      <c r="B236" s="113" t="s">
        <v>147</v>
      </c>
    </row>
    <row r="237" spans="1:2" ht="15">
      <c r="A237" s="113">
        <f>VLOOKUP("Total",Table8!A:U,10,FALSE)</f>
        <v>300</v>
      </c>
      <c r="B237" s="113" t="s">
        <v>162</v>
      </c>
    </row>
    <row r="238" spans="1:2" ht="15">
      <c r="A238" s="114">
        <f>A237/A235</f>
        <v>-0.3787878787878788</v>
      </c>
      <c r="B238" s="113" t="s">
        <v>149</v>
      </c>
    </row>
    <row r="239" spans="1:2" ht="15">
      <c r="A239" s="113">
        <f>VLOOKUP("Total",Table8!A:U,11,FALSE)</f>
        <v>-322</v>
      </c>
      <c r="B239" s="113" t="s">
        <v>163</v>
      </c>
    </row>
    <row r="240" spans="1:2" ht="15">
      <c r="A240" s="114">
        <f>A239/A235</f>
        <v>0.4065656565656566</v>
      </c>
      <c r="B240" s="113" t="s">
        <v>151</v>
      </c>
    </row>
    <row r="241" spans="1:2" ht="15">
      <c r="A241" s="113">
        <f>VLOOKUP("Total",Table8!A:U,12,FALSE)</f>
        <v>-770</v>
      </c>
      <c r="B241" s="113" t="s">
        <v>164</v>
      </c>
    </row>
    <row r="242" spans="1:2" ht="15">
      <c r="A242" s="121">
        <f>A241/A235</f>
        <v>0.9722222222222222</v>
      </c>
      <c r="B242" s="118" t="s">
        <v>153</v>
      </c>
    </row>
    <row r="243" ht="15">
      <c r="B243" s="115" t="s">
        <v>106</v>
      </c>
    </row>
    <row r="244" spans="1:2" ht="15">
      <c r="A244" s="112">
        <f>Table1!F112</f>
        <v>885</v>
      </c>
      <c r="B244" s="113" t="s">
        <v>165</v>
      </c>
    </row>
    <row r="245" spans="1:2" ht="15">
      <c r="A245" s="114">
        <f>A244/Table1!$N$112</f>
        <v>0.05353254294701185</v>
      </c>
      <c r="B245" s="113" t="s">
        <v>143</v>
      </c>
    </row>
    <row r="246" spans="1:2" ht="15">
      <c r="A246" s="112">
        <f>Table2!F111</f>
        <v>1252</v>
      </c>
      <c r="B246" s="113" t="s">
        <v>166</v>
      </c>
    </row>
    <row r="247" spans="1:2" ht="15">
      <c r="A247" s="114">
        <f>A246/Table2!$P$111</f>
        <v>0.08685397155740548</v>
      </c>
      <c r="B247" s="113" t="s">
        <v>156</v>
      </c>
    </row>
    <row r="248" spans="1:2" ht="15">
      <c r="A248" s="112">
        <f>A246-A244</f>
        <v>367</v>
      </c>
      <c r="B248" s="113" t="s">
        <v>146</v>
      </c>
    </row>
    <row r="249" spans="1:2" ht="15">
      <c r="A249" s="114">
        <f>A248/A244</f>
        <v>0.41468926553672314</v>
      </c>
      <c r="B249" s="113" t="s">
        <v>147</v>
      </c>
    </row>
    <row r="250" spans="1:2" ht="15">
      <c r="A250" s="113">
        <f>VLOOKUP("Total",Table8!A:U,14,FALSE)</f>
        <v>161</v>
      </c>
      <c r="B250" s="113" t="s">
        <v>167</v>
      </c>
    </row>
    <row r="251" spans="1:2" ht="15">
      <c r="A251" s="114">
        <f>A250/A248</f>
        <v>0.43869209809264303</v>
      </c>
      <c r="B251" s="113" t="s">
        <v>149</v>
      </c>
    </row>
    <row r="252" spans="1:2" ht="15">
      <c r="A252" s="113">
        <f>VLOOKUP("Total",Table8!A:U,15,FALSE)</f>
        <v>353</v>
      </c>
      <c r="B252" s="113" t="s">
        <v>168</v>
      </c>
    </row>
    <row r="253" spans="1:2" ht="15">
      <c r="A253" s="114">
        <f>A252/A248</f>
        <v>0.9618528610354223</v>
      </c>
      <c r="B253" s="113" t="s">
        <v>151</v>
      </c>
    </row>
    <row r="254" spans="1:2" ht="15">
      <c r="A254" s="113">
        <f>VLOOKUP("Total",Table8!A:U,16,FALSE)</f>
        <v>-147</v>
      </c>
      <c r="B254" s="113" t="s">
        <v>169</v>
      </c>
    </row>
    <row r="255" spans="1:2" ht="15">
      <c r="A255" s="121">
        <f>A254/A248</f>
        <v>-0.40054495912806537</v>
      </c>
      <c r="B255" s="118" t="s">
        <v>153</v>
      </c>
    </row>
    <row r="256" ht="15">
      <c r="B256" s="115" t="s">
        <v>112</v>
      </c>
    </row>
    <row r="257" spans="1:2" ht="15">
      <c r="A257" s="112">
        <f>Table1!G112</f>
        <v>3045</v>
      </c>
      <c r="B257" s="113" t="s">
        <v>170</v>
      </c>
    </row>
    <row r="258" spans="1:2" ht="15">
      <c r="A258" s="114">
        <f>A257/Table1!$N$112</f>
        <v>0.18418824098717637</v>
      </c>
      <c r="B258" s="113" t="s">
        <v>143</v>
      </c>
    </row>
    <row r="259" spans="1:2" ht="15">
      <c r="A259" s="112">
        <f>Table2!G111</f>
        <v>3347</v>
      </c>
      <c r="B259" s="113" t="s">
        <v>171</v>
      </c>
    </row>
    <row r="260" spans="1:2" ht="15">
      <c r="A260" s="114">
        <f>A259/Table2!$P$111</f>
        <v>0.23218869233437392</v>
      </c>
      <c r="B260" s="113" t="s">
        <v>156</v>
      </c>
    </row>
    <row r="261" spans="1:2" ht="15">
      <c r="A261" s="112">
        <f>A259-A257</f>
        <v>302</v>
      </c>
      <c r="B261" s="113" t="s">
        <v>146</v>
      </c>
    </row>
    <row r="262" spans="1:2" ht="15">
      <c r="A262" s="114">
        <f>A261/A257</f>
        <v>0.09917898193760263</v>
      </c>
      <c r="B262" s="113" t="s">
        <v>147</v>
      </c>
    </row>
    <row r="263" spans="1:2" ht="15">
      <c r="A263" s="113">
        <f>VLOOKUP("Total",Table8!A:U,18,FALSE)</f>
        <v>-200</v>
      </c>
      <c r="B263" s="113" t="s">
        <v>172</v>
      </c>
    </row>
    <row r="264" spans="1:2" ht="15">
      <c r="A264" s="114">
        <f>A263/A261</f>
        <v>-0.6622516556291391</v>
      </c>
      <c r="B264" s="113" t="s">
        <v>149</v>
      </c>
    </row>
    <row r="265" spans="1:2" ht="15">
      <c r="A265" s="113">
        <f>VLOOKUP("Total",Table8!A:U,19,FALSE)</f>
        <v>896</v>
      </c>
      <c r="B265" s="113" t="s">
        <v>173</v>
      </c>
    </row>
    <row r="266" spans="1:2" ht="15">
      <c r="A266" s="114">
        <f>A265/A261</f>
        <v>2.966887417218543</v>
      </c>
      <c r="B266" s="113" t="s">
        <v>151</v>
      </c>
    </row>
    <row r="267" spans="1:2" ht="15">
      <c r="A267" s="113">
        <f>VLOOKUP("Total",Table8!A:U,20,FALSE)</f>
        <v>-394</v>
      </c>
      <c r="B267" s="113" t="s">
        <v>174</v>
      </c>
    </row>
    <row r="268" spans="1:2" ht="15">
      <c r="A268" s="121">
        <f>A267/A261</f>
        <v>-1.304635761589404</v>
      </c>
      <c r="B268" s="118" t="s">
        <v>153</v>
      </c>
    </row>
  </sheetData>
  <sheetProtection/>
  <mergeCells count="1">
    <mergeCell ref="I78:R8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30.7109375" style="2" customWidth="1"/>
    <col min="2" max="2" width="9.140625" style="2" hidden="1" customWidth="1"/>
    <col min="3" max="3" width="7.57421875" style="5" bestFit="1" customWidth="1"/>
    <col min="4" max="4" width="9.421875" style="5" bestFit="1" customWidth="1"/>
    <col min="5" max="5" width="8.421875" style="5" customWidth="1"/>
    <col min="6" max="6" width="9.421875" style="5" bestFit="1" customWidth="1"/>
    <col min="7" max="7" width="8.57421875" style="5" bestFit="1" customWidth="1"/>
    <col min="8" max="8" width="7.57421875" style="5" bestFit="1" customWidth="1"/>
    <col min="9" max="9" width="9.421875" style="5" bestFit="1" customWidth="1"/>
    <col min="10" max="10" width="8.00390625" style="5" customWidth="1"/>
    <col min="11" max="11" width="9.421875" style="5" bestFit="1" customWidth="1"/>
    <col min="12" max="12" width="8.57421875" style="5" bestFit="1" customWidth="1"/>
    <col min="13" max="14" width="7.57421875" style="5" bestFit="1" customWidth="1"/>
    <col min="15" max="16384" width="9.140625" style="11" customWidth="1"/>
  </cols>
  <sheetData>
    <row r="1" ht="19.5">
      <c r="A1" s="12" t="str">
        <f>"TABLE 3-1. Total Number of Initial Permit Holders by Permit Type and Resident Type, 1975-"&amp;TEXT(Sundry!B2,"0000")&amp;"*"</f>
        <v>TABLE 3-1. Total Number of Initial Permit Holders by Permit Type and Resident Type, 1975-2010*</v>
      </c>
    </row>
    <row r="3" spans="1:14" ht="15">
      <c r="A3" s="166" t="s">
        <v>175</v>
      </c>
      <c r="B3" s="6"/>
      <c r="C3" s="163" t="s">
        <v>176</v>
      </c>
      <c r="D3" s="164"/>
      <c r="E3" s="164"/>
      <c r="F3" s="164"/>
      <c r="G3" s="165"/>
      <c r="H3" s="163" t="s">
        <v>177</v>
      </c>
      <c r="I3" s="164"/>
      <c r="J3" s="164"/>
      <c r="K3" s="164"/>
      <c r="L3" s="165"/>
      <c r="M3" s="163" t="s">
        <v>178</v>
      </c>
      <c r="N3" s="165"/>
    </row>
    <row r="4" spans="1:14" ht="45">
      <c r="A4" s="166"/>
      <c r="B4" s="6"/>
      <c r="C4" s="13" t="s">
        <v>179</v>
      </c>
      <c r="D4" s="13" t="s">
        <v>180</v>
      </c>
      <c r="E4" s="13" t="s">
        <v>181</v>
      </c>
      <c r="F4" s="13" t="s">
        <v>182</v>
      </c>
      <c r="G4" s="13" t="s">
        <v>183</v>
      </c>
      <c r="H4" s="13" t="str">
        <f>C4</f>
        <v>Alaska Rural Local</v>
      </c>
      <c r="I4" s="13" t="str">
        <f>D4</f>
        <v>Alaska Rural Nonlocal</v>
      </c>
      <c r="J4" s="13" t="str">
        <f>E4</f>
        <v>Alaska Urban Local</v>
      </c>
      <c r="K4" s="13" t="str">
        <f>F4</f>
        <v>Alaska Urban Nonlocal</v>
      </c>
      <c r="L4" s="13" t="str">
        <f>G4</f>
        <v>Non-
resident</v>
      </c>
      <c r="M4" s="14" t="s">
        <v>184</v>
      </c>
      <c r="N4" s="14" t="s">
        <v>185</v>
      </c>
    </row>
    <row r="5" spans="3:14" ht="15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5">
      <c r="A6" s="3">
        <v>1975</v>
      </c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186</v>
      </c>
      <c r="B7" s="4" t="s">
        <v>187</v>
      </c>
      <c r="C7" s="16">
        <f>VLOOKUP(B7,Table1data!$B:$O,3,FALSE)</f>
        <v>106</v>
      </c>
      <c r="D7" s="16">
        <f>VLOOKUP(B7,Table1data!$B:$O,4,FALSE)</f>
        <v>0</v>
      </c>
      <c r="E7" s="16">
        <f>VLOOKUP(B7,Table1data!$B:$O,5,FALSE)</f>
        <v>106</v>
      </c>
      <c r="F7" s="16">
        <f>VLOOKUP(B7,Table1data!$B:$O,6,FALSE)</f>
        <v>0</v>
      </c>
      <c r="G7" s="16">
        <f>VLOOKUP(B7,Table1data!$B:$O,7,FALSE)</f>
        <v>207</v>
      </c>
      <c r="H7" s="15">
        <f>VLOOKUP(B7,Table1data!$B:$O,8,FALSE)</f>
        <v>106</v>
      </c>
      <c r="I7" s="16">
        <f>VLOOKUP(B7,Table1data!$B:$O,9,FALSE)</f>
        <v>0</v>
      </c>
      <c r="J7" s="16">
        <f>VLOOKUP(B7,Table1data!$B:$O,10,FALSE)</f>
        <v>106</v>
      </c>
      <c r="K7" s="16">
        <f>VLOOKUP(B7,Table1data!$B:$O,11,FALSE)</f>
        <v>0</v>
      </c>
      <c r="L7" s="17">
        <f>VLOOKUP(B7,Table1data!$B:$O,12,FALSE)</f>
        <v>207</v>
      </c>
      <c r="M7" s="16">
        <f>VLOOKUP(B7,Table1data!$B:$O,13,FALSE)</f>
        <v>212</v>
      </c>
      <c r="N7" s="16">
        <f>VLOOKUP(B7,Table1data!$B:$O,14,FALSE)</f>
        <v>419</v>
      </c>
    </row>
    <row r="8" spans="1:14" ht="15">
      <c r="A8" s="4" t="s">
        <v>188</v>
      </c>
      <c r="B8" s="4" t="s">
        <v>189</v>
      </c>
      <c r="C8" s="16">
        <f>VLOOKUP(B8,Table1data!$B:$O,3,FALSE)</f>
        <v>118</v>
      </c>
      <c r="D8" s="16">
        <f>VLOOKUP(B8,Table1data!$B:$O,4,FALSE)</f>
        <v>1</v>
      </c>
      <c r="E8" s="16">
        <f>VLOOKUP(B8,Table1data!$B:$O,5,FALSE)</f>
        <v>195</v>
      </c>
      <c r="F8" s="16">
        <f>VLOOKUP(B8,Table1data!$B:$O,6,FALSE)</f>
        <v>4</v>
      </c>
      <c r="G8" s="16">
        <f>VLOOKUP(B8,Table1data!$B:$O,7,FALSE)</f>
        <v>157</v>
      </c>
      <c r="H8" s="15">
        <f>VLOOKUP(B8,Table1data!$B:$O,8,FALSE)</f>
        <v>118</v>
      </c>
      <c r="I8" s="16">
        <f>VLOOKUP(B8,Table1data!$B:$O,9,FALSE)</f>
        <v>1</v>
      </c>
      <c r="J8" s="16">
        <f>VLOOKUP(B8,Table1data!$B:$O,10,FALSE)</f>
        <v>195</v>
      </c>
      <c r="K8" s="16">
        <f>VLOOKUP(B8,Table1data!$B:$O,11,FALSE)</f>
        <v>4</v>
      </c>
      <c r="L8" s="17">
        <f>VLOOKUP(B8,Table1data!$B:$O,12,FALSE)</f>
        <v>157</v>
      </c>
      <c r="M8" s="16">
        <f>VLOOKUP(B8,Table1data!$B:$O,13,FALSE)</f>
        <v>318</v>
      </c>
      <c r="N8" s="16">
        <f>VLOOKUP(B8,Table1data!$B:$O,14,FALSE)</f>
        <v>475</v>
      </c>
    </row>
    <row r="9" spans="1:14" ht="15">
      <c r="A9" s="4" t="s">
        <v>190</v>
      </c>
      <c r="B9" s="4" t="s">
        <v>191</v>
      </c>
      <c r="C9" s="16">
        <f>VLOOKUP(B9,Table1data!$B:$O,3,FALSE)</f>
        <v>264</v>
      </c>
      <c r="D9" s="16">
        <f>VLOOKUP(B9,Table1data!$B:$O,4,FALSE)</f>
        <v>5</v>
      </c>
      <c r="E9" s="16">
        <f>VLOOKUP(B9,Table1data!$B:$O,5,FALSE)</f>
        <v>406</v>
      </c>
      <c r="F9" s="16">
        <f>VLOOKUP(B9,Table1data!$B:$O,6,FALSE)</f>
        <v>11</v>
      </c>
      <c r="G9" s="16">
        <f>VLOOKUP(B9,Table1data!$B:$O,7,FALSE)</f>
        <v>286</v>
      </c>
      <c r="H9" s="15">
        <f>VLOOKUP(B9,Table1data!$B:$O,8,FALSE)</f>
        <v>264</v>
      </c>
      <c r="I9" s="16">
        <f>VLOOKUP(B9,Table1data!$B:$O,9,FALSE)</f>
        <v>5</v>
      </c>
      <c r="J9" s="16">
        <f>VLOOKUP(B9,Table1data!$B:$O,10,FALSE)</f>
        <v>406</v>
      </c>
      <c r="K9" s="16">
        <f>VLOOKUP(B9,Table1data!$B:$O,11,FALSE)</f>
        <v>11</v>
      </c>
      <c r="L9" s="17">
        <f>VLOOKUP(B9,Table1data!$B:$O,12,FALSE)</f>
        <v>286</v>
      </c>
      <c r="M9" s="16">
        <f>VLOOKUP(B9,Table1data!$B:$O,13,FALSE)</f>
        <v>686</v>
      </c>
      <c r="N9" s="16">
        <f>VLOOKUP(B9,Table1data!$B:$O,14,FALSE)</f>
        <v>972</v>
      </c>
    </row>
    <row r="10" spans="1:14" ht="15">
      <c r="A10" s="7" t="s">
        <v>192</v>
      </c>
      <c r="B10" s="7" t="s">
        <v>193</v>
      </c>
      <c r="C10" s="19">
        <f>VLOOKUP(B10,Table1data!$B:$O,3,FALSE)</f>
        <v>129</v>
      </c>
      <c r="D10" s="19">
        <f>VLOOKUP(B10,Table1data!$B:$O,4,FALSE)</f>
        <v>3</v>
      </c>
      <c r="E10" s="19">
        <f>VLOOKUP(B10,Table1data!$B:$O,5,FALSE)</f>
        <v>0</v>
      </c>
      <c r="F10" s="19">
        <f>VLOOKUP(B10,Table1data!$B:$O,6,FALSE)</f>
        <v>22</v>
      </c>
      <c r="G10" s="19">
        <f>VLOOKUP(B10,Table1data!$B:$O,7,FALSE)</f>
        <v>18</v>
      </c>
      <c r="H10" s="18">
        <f>VLOOKUP(B10,Table1data!$B:$O,8,FALSE)</f>
        <v>129</v>
      </c>
      <c r="I10" s="19">
        <f>VLOOKUP(B10,Table1data!$B:$O,9,FALSE)</f>
        <v>3</v>
      </c>
      <c r="J10" s="19">
        <f>VLOOKUP(B10,Table1data!$B:$O,10,FALSE)</f>
        <v>0</v>
      </c>
      <c r="K10" s="19">
        <f>VLOOKUP(B10,Table1data!$B:$O,11,FALSE)</f>
        <v>22</v>
      </c>
      <c r="L10" s="20">
        <f>VLOOKUP(B10,Table1data!$B:$O,12,FALSE)</f>
        <v>18</v>
      </c>
      <c r="M10" s="19">
        <f>VLOOKUP(B10,Table1data!$B:$O,13,FALSE)</f>
        <v>154</v>
      </c>
      <c r="N10" s="19">
        <f>VLOOKUP(B10,Table1data!$B:$O,14,FALSE)</f>
        <v>172</v>
      </c>
    </row>
    <row r="11" spans="1:14" ht="15">
      <c r="A11" s="7" t="s">
        <v>194</v>
      </c>
      <c r="B11" s="7" t="s">
        <v>195</v>
      </c>
      <c r="C11" s="19">
        <f>VLOOKUP(B11,Table1data!$B:$O,3,FALSE)</f>
        <v>186</v>
      </c>
      <c r="D11" s="19">
        <f>VLOOKUP(B11,Table1data!$B:$O,4,FALSE)</f>
        <v>12</v>
      </c>
      <c r="E11" s="19">
        <f>VLOOKUP(B11,Table1data!$B:$O,5,FALSE)</f>
        <v>0</v>
      </c>
      <c r="F11" s="19">
        <f>VLOOKUP(B11,Table1data!$B:$O,6,FALSE)</f>
        <v>14</v>
      </c>
      <c r="G11" s="19">
        <f>VLOOKUP(B11,Table1data!$B:$O,7,FALSE)</f>
        <v>55</v>
      </c>
      <c r="H11" s="18">
        <f>VLOOKUP(B11,Table1data!$B:$O,8,FALSE)</f>
        <v>186</v>
      </c>
      <c r="I11" s="19">
        <f>VLOOKUP(B11,Table1data!$B:$O,9,FALSE)</f>
        <v>12</v>
      </c>
      <c r="J11" s="19">
        <f>VLOOKUP(B11,Table1data!$B:$O,10,FALSE)</f>
        <v>0</v>
      </c>
      <c r="K11" s="19">
        <f>VLOOKUP(B11,Table1data!$B:$O,11,FALSE)</f>
        <v>14</v>
      </c>
      <c r="L11" s="20">
        <f>VLOOKUP(B11,Table1data!$B:$O,12,FALSE)</f>
        <v>55</v>
      </c>
      <c r="M11" s="19">
        <f>VLOOKUP(B11,Table1data!$B:$O,13,FALSE)</f>
        <v>212</v>
      </c>
      <c r="N11" s="19">
        <f>VLOOKUP(B11,Table1data!$B:$O,14,FALSE)</f>
        <v>267</v>
      </c>
    </row>
    <row r="12" spans="1:14" ht="15">
      <c r="A12" s="7" t="s">
        <v>196</v>
      </c>
      <c r="B12" s="7" t="s">
        <v>197</v>
      </c>
      <c r="C12" s="19">
        <f>VLOOKUP(B12,Table1data!$B:$O,3,FALSE)</f>
        <v>350</v>
      </c>
      <c r="D12" s="19">
        <f>VLOOKUP(B12,Table1data!$B:$O,4,FALSE)</f>
        <v>20</v>
      </c>
      <c r="E12" s="19">
        <f>VLOOKUP(B12,Table1data!$B:$O,5,FALSE)</f>
        <v>0</v>
      </c>
      <c r="F12" s="19">
        <f>VLOOKUP(B12,Table1data!$B:$O,6,FALSE)</f>
        <v>28</v>
      </c>
      <c r="G12" s="19">
        <f>VLOOKUP(B12,Table1data!$B:$O,7,FALSE)</f>
        <v>139</v>
      </c>
      <c r="H12" s="18">
        <f>VLOOKUP(B12,Table1data!$B:$O,8,FALSE)</f>
        <v>350</v>
      </c>
      <c r="I12" s="19">
        <f>VLOOKUP(B12,Table1data!$B:$O,9,FALSE)</f>
        <v>20</v>
      </c>
      <c r="J12" s="19">
        <f>VLOOKUP(B12,Table1data!$B:$O,10,FALSE)</f>
        <v>0</v>
      </c>
      <c r="K12" s="19">
        <f>VLOOKUP(B12,Table1data!$B:$O,11,FALSE)</f>
        <v>28</v>
      </c>
      <c r="L12" s="20">
        <f>VLOOKUP(B12,Table1data!$B:$O,12,FALSE)</f>
        <v>139</v>
      </c>
      <c r="M12" s="19">
        <f>VLOOKUP(B12,Table1data!$B:$O,13,FALSE)</f>
        <v>398</v>
      </c>
      <c r="N12" s="19">
        <f>VLOOKUP(B12,Table1data!$B:$O,14,FALSE)</f>
        <v>537</v>
      </c>
    </row>
    <row r="13" spans="1:14" ht="15">
      <c r="A13" s="7" t="s">
        <v>198</v>
      </c>
      <c r="B13" s="7" t="s">
        <v>199</v>
      </c>
      <c r="C13" s="19">
        <f>VLOOKUP(B13,Table1data!$B:$O,3,FALSE)</f>
        <v>21</v>
      </c>
      <c r="D13" s="19">
        <f>VLOOKUP(B13,Table1data!$B:$O,4,FALSE)</f>
        <v>0</v>
      </c>
      <c r="E13" s="19">
        <f>VLOOKUP(B13,Table1data!$B:$O,5,FALSE)</f>
        <v>0</v>
      </c>
      <c r="F13" s="19">
        <f>VLOOKUP(B13,Table1data!$B:$O,6,FALSE)</f>
        <v>2</v>
      </c>
      <c r="G13" s="19">
        <f>VLOOKUP(B13,Table1data!$B:$O,7,FALSE)</f>
        <v>7</v>
      </c>
      <c r="H13" s="18">
        <f>VLOOKUP(B13,Table1data!$B:$O,8,FALSE)</f>
        <v>20</v>
      </c>
      <c r="I13" s="19">
        <f>VLOOKUP(B13,Table1data!$B:$O,9,FALSE)</f>
        <v>0</v>
      </c>
      <c r="J13" s="19">
        <f>VLOOKUP(B13,Table1data!$B:$O,10,FALSE)</f>
        <v>0</v>
      </c>
      <c r="K13" s="19">
        <f>VLOOKUP(B13,Table1data!$B:$O,11,FALSE)</f>
        <v>2</v>
      </c>
      <c r="L13" s="20">
        <f>VLOOKUP(B13,Table1data!$B:$O,12,FALSE)</f>
        <v>7</v>
      </c>
      <c r="M13" s="19">
        <f>VLOOKUP(B13,Table1data!$B:$O,13,FALSE)</f>
        <v>23</v>
      </c>
      <c r="N13" s="19">
        <f>VLOOKUP(B13,Table1data!$B:$O,14,FALSE)</f>
        <v>30</v>
      </c>
    </row>
    <row r="14" spans="1:14" ht="15">
      <c r="A14" s="7" t="s">
        <v>200</v>
      </c>
      <c r="B14" s="7" t="s">
        <v>201</v>
      </c>
      <c r="C14" s="19">
        <f>VLOOKUP(B14,Table1data!$B:$O,3,FALSE)</f>
        <v>76</v>
      </c>
      <c r="D14" s="19">
        <f>VLOOKUP(B14,Table1data!$B:$O,4,FALSE)</f>
        <v>0</v>
      </c>
      <c r="E14" s="19">
        <f>VLOOKUP(B14,Table1data!$B:$O,5,FALSE)</f>
        <v>7</v>
      </c>
      <c r="F14" s="19">
        <f>VLOOKUP(B14,Table1data!$B:$O,6,FALSE)</f>
        <v>1</v>
      </c>
      <c r="G14" s="19">
        <f>VLOOKUP(B14,Table1data!$B:$O,7,FALSE)</f>
        <v>1</v>
      </c>
      <c r="H14" s="18">
        <f>VLOOKUP(B14,Table1data!$B:$O,8,FALSE)</f>
        <v>76</v>
      </c>
      <c r="I14" s="19">
        <f>VLOOKUP(B14,Table1data!$B:$O,9,FALSE)</f>
        <v>0</v>
      </c>
      <c r="J14" s="19">
        <f>VLOOKUP(B14,Table1data!$B:$O,10,FALSE)</f>
        <v>7</v>
      </c>
      <c r="K14" s="19">
        <f>VLOOKUP(B14,Table1data!$B:$O,11,FALSE)</f>
        <v>1</v>
      </c>
      <c r="L14" s="20">
        <f>VLOOKUP(B14,Table1data!$B:$O,12,FALSE)</f>
        <v>1</v>
      </c>
      <c r="M14" s="19">
        <f>VLOOKUP(B14,Table1data!$B:$O,13,FALSE)</f>
        <v>84</v>
      </c>
      <c r="N14" s="19">
        <f>VLOOKUP(B14,Table1data!$B:$O,14,FALSE)</f>
        <v>85</v>
      </c>
    </row>
    <row r="15" spans="1:14" ht="15">
      <c r="A15" s="7" t="s">
        <v>202</v>
      </c>
      <c r="B15" s="7" t="s">
        <v>203</v>
      </c>
      <c r="C15" s="19">
        <f>VLOOKUP(B15,Table1data!$B:$O,3,FALSE)</f>
        <v>167</v>
      </c>
      <c r="D15" s="19">
        <f>VLOOKUP(B15,Table1data!$B:$O,4,FALSE)</f>
        <v>11</v>
      </c>
      <c r="E15" s="19">
        <f>VLOOKUP(B15,Table1data!$B:$O,5,FALSE)</f>
        <v>197</v>
      </c>
      <c r="F15" s="19">
        <f>VLOOKUP(B15,Table1data!$B:$O,6,FALSE)</f>
        <v>11</v>
      </c>
      <c r="G15" s="19">
        <f>VLOOKUP(B15,Table1data!$B:$O,7,FALSE)</f>
        <v>187</v>
      </c>
      <c r="H15" s="18">
        <f>VLOOKUP(B15,Table1data!$B:$O,8,FALSE)</f>
        <v>167</v>
      </c>
      <c r="I15" s="19">
        <f>VLOOKUP(B15,Table1data!$B:$O,9,FALSE)</f>
        <v>11</v>
      </c>
      <c r="J15" s="19">
        <f>VLOOKUP(B15,Table1data!$B:$O,10,FALSE)</f>
        <v>197</v>
      </c>
      <c r="K15" s="19">
        <f>VLOOKUP(B15,Table1data!$B:$O,11,FALSE)</f>
        <v>11</v>
      </c>
      <c r="L15" s="20">
        <f>VLOOKUP(B15,Table1data!$B:$O,12,FALSE)</f>
        <v>187</v>
      </c>
      <c r="M15" s="19">
        <f>VLOOKUP(B15,Table1data!$B:$O,13,FALSE)</f>
        <v>386</v>
      </c>
      <c r="N15" s="19">
        <f>VLOOKUP(B15,Table1data!$B:$O,14,FALSE)</f>
        <v>573</v>
      </c>
    </row>
    <row r="16" spans="1:14" ht="15">
      <c r="A16" s="7" t="s">
        <v>204</v>
      </c>
      <c r="B16" s="7" t="s">
        <v>205</v>
      </c>
      <c r="C16" s="19">
        <f>VLOOKUP(B16,Table1data!$B:$O,3,FALSE)</f>
        <v>202</v>
      </c>
      <c r="D16" s="19">
        <f>VLOOKUP(B16,Table1data!$B:$O,4,FALSE)</f>
        <v>16</v>
      </c>
      <c r="E16" s="19">
        <f>VLOOKUP(B16,Table1data!$B:$O,5,FALSE)</f>
        <v>446</v>
      </c>
      <c r="F16" s="19">
        <f>VLOOKUP(B16,Table1data!$B:$O,6,FALSE)</f>
        <v>26</v>
      </c>
      <c r="G16" s="19">
        <f>VLOOKUP(B16,Table1data!$B:$O,7,FALSE)</f>
        <v>56</v>
      </c>
      <c r="H16" s="18">
        <f>VLOOKUP(B16,Table1data!$B:$O,8,FALSE)</f>
        <v>202</v>
      </c>
      <c r="I16" s="19">
        <f>VLOOKUP(B16,Table1data!$B:$O,9,FALSE)</f>
        <v>16</v>
      </c>
      <c r="J16" s="19">
        <f>VLOOKUP(B16,Table1data!$B:$O,10,FALSE)</f>
        <v>446</v>
      </c>
      <c r="K16" s="19">
        <f>VLOOKUP(B16,Table1data!$B:$O,11,FALSE)</f>
        <v>26</v>
      </c>
      <c r="L16" s="20">
        <f>VLOOKUP(B16,Table1data!$B:$O,12,FALSE)</f>
        <v>56</v>
      </c>
      <c r="M16" s="19">
        <f>VLOOKUP(B16,Table1data!$B:$O,13,FALSE)</f>
        <v>690</v>
      </c>
      <c r="N16" s="19">
        <f>VLOOKUP(B16,Table1data!$B:$O,14,FALSE)</f>
        <v>746</v>
      </c>
    </row>
    <row r="17" spans="1:14" ht="15">
      <c r="A17" s="7" t="s">
        <v>206</v>
      </c>
      <c r="B17" s="7" t="s">
        <v>207</v>
      </c>
      <c r="C17" s="19">
        <f>VLOOKUP(B17,Table1data!$B:$O,3,FALSE)</f>
        <v>76</v>
      </c>
      <c r="D17" s="19">
        <f>VLOOKUP(B17,Table1data!$B:$O,4,FALSE)</f>
        <v>25</v>
      </c>
      <c r="E17" s="19">
        <f>VLOOKUP(B17,Table1data!$B:$O,5,FALSE)</f>
        <v>162</v>
      </c>
      <c r="F17" s="19">
        <f>VLOOKUP(B17,Table1data!$B:$O,6,FALSE)</f>
        <v>10</v>
      </c>
      <c r="G17" s="19">
        <f>VLOOKUP(B17,Table1data!$B:$O,7,FALSE)</f>
        <v>111</v>
      </c>
      <c r="H17" s="18">
        <f>VLOOKUP(B17,Table1data!$B:$O,8,FALSE)</f>
        <v>76</v>
      </c>
      <c r="I17" s="19">
        <f>VLOOKUP(B17,Table1data!$B:$O,9,FALSE)</f>
        <v>25</v>
      </c>
      <c r="J17" s="19">
        <f>VLOOKUP(B17,Table1data!$B:$O,10,FALSE)</f>
        <v>162</v>
      </c>
      <c r="K17" s="19">
        <f>VLOOKUP(B17,Table1data!$B:$O,11,FALSE)</f>
        <v>10</v>
      </c>
      <c r="L17" s="20">
        <f>VLOOKUP(B17,Table1data!$B:$O,12,FALSE)</f>
        <v>111</v>
      </c>
      <c r="M17" s="19">
        <f>VLOOKUP(B17,Table1data!$B:$O,13,FALSE)</f>
        <v>273</v>
      </c>
      <c r="N17" s="19">
        <f>VLOOKUP(B17,Table1data!$B:$O,14,FALSE)</f>
        <v>384</v>
      </c>
    </row>
    <row r="18" spans="1:14" ht="15">
      <c r="A18" s="7" t="s">
        <v>208</v>
      </c>
      <c r="B18" s="7" t="s">
        <v>209</v>
      </c>
      <c r="C18" s="19">
        <f>VLOOKUP(B18,Table1data!$B:$O,3,FALSE)</f>
        <v>13</v>
      </c>
      <c r="D18" s="19">
        <f>VLOOKUP(B18,Table1data!$B:$O,4,FALSE)</f>
        <v>2</v>
      </c>
      <c r="E18" s="19">
        <f>VLOOKUP(B18,Table1data!$B:$O,5,FALSE)</f>
        <v>18</v>
      </c>
      <c r="F18" s="19">
        <f>VLOOKUP(B18,Table1data!$B:$O,6,FALSE)</f>
        <v>1</v>
      </c>
      <c r="G18" s="19">
        <f>VLOOKUP(B18,Table1data!$B:$O,7,FALSE)</f>
        <v>2</v>
      </c>
      <c r="H18" s="18">
        <f>VLOOKUP(B18,Table1data!$B:$O,8,FALSE)</f>
        <v>12</v>
      </c>
      <c r="I18" s="19">
        <f>VLOOKUP(B18,Table1data!$B:$O,9,FALSE)</f>
        <v>1</v>
      </c>
      <c r="J18" s="19">
        <f>VLOOKUP(B18,Table1data!$B:$O,10,FALSE)</f>
        <v>17</v>
      </c>
      <c r="K18" s="19">
        <f>VLOOKUP(B18,Table1data!$B:$O,11,FALSE)</f>
        <v>1</v>
      </c>
      <c r="L18" s="20">
        <f>VLOOKUP(B18,Table1data!$B:$O,12,FALSE)</f>
        <v>1</v>
      </c>
      <c r="M18" s="19">
        <f>VLOOKUP(B18,Table1data!$B:$O,13,FALSE)</f>
        <v>34</v>
      </c>
      <c r="N18" s="19">
        <f>VLOOKUP(B18,Table1data!$B:$O,14,FALSE)</f>
        <v>36</v>
      </c>
    </row>
    <row r="19" spans="1:14" ht="15">
      <c r="A19" s="7" t="s">
        <v>210</v>
      </c>
      <c r="B19" s="7" t="s">
        <v>211</v>
      </c>
      <c r="C19" s="19">
        <f>VLOOKUP(B19,Table1data!$B:$O,3,FALSE)</f>
        <v>44</v>
      </c>
      <c r="D19" s="19">
        <f>VLOOKUP(B19,Table1data!$B:$O,4,FALSE)</f>
        <v>3</v>
      </c>
      <c r="E19" s="19">
        <f>VLOOKUP(B19,Table1data!$B:$O,5,FALSE)</f>
        <v>77</v>
      </c>
      <c r="F19" s="19">
        <f>VLOOKUP(B19,Table1data!$B:$O,6,FALSE)</f>
        <v>13</v>
      </c>
      <c r="G19" s="19">
        <f>VLOOKUP(B19,Table1data!$B:$O,7,FALSE)</f>
        <v>51</v>
      </c>
      <c r="H19" s="18">
        <f>VLOOKUP(B19,Table1data!$B:$O,8,FALSE)</f>
        <v>44</v>
      </c>
      <c r="I19" s="19">
        <f>VLOOKUP(B19,Table1data!$B:$O,9,FALSE)</f>
        <v>3</v>
      </c>
      <c r="J19" s="19">
        <f>VLOOKUP(B19,Table1data!$B:$O,10,FALSE)</f>
        <v>77</v>
      </c>
      <c r="K19" s="19">
        <f>VLOOKUP(B19,Table1data!$B:$O,11,FALSE)</f>
        <v>13</v>
      </c>
      <c r="L19" s="20">
        <f>VLOOKUP(B19,Table1data!$B:$O,12,FALSE)</f>
        <v>51</v>
      </c>
      <c r="M19" s="19">
        <f>VLOOKUP(B19,Table1data!$B:$O,13,FALSE)</f>
        <v>137</v>
      </c>
      <c r="N19" s="19">
        <f>VLOOKUP(B19,Table1data!$B:$O,14,FALSE)</f>
        <v>188</v>
      </c>
    </row>
    <row r="20" spans="1:14" ht="15">
      <c r="A20" s="7" t="s">
        <v>212</v>
      </c>
      <c r="B20" s="7" t="s">
        <v>213</v>
      </c>
      <c r="C20" s="19">
        <f>VLOOKUP(B20,Table1data!$B:$O,3,FALSE)</f>
        <v>29</v>
      </c>
      <c r="D20" s="19">
        <f>VLOOKUP(B20,Table1data!$B:$O,4,FALSE)</f>
        <v>12</v>
      </c>
      <c r="E20" s="19">
        <f>VLOOKUP(B20,Table1data!$B:$O,5,FALSE)</f>
        <v>0</v>
      </c>
      <c r="F20" s="19">
        <f>VLOOKUP(B20,Table1data!$B:$O,6,FALSE)</f>
        <v>29</v>
      </c>
      <c r="G20" s="19">
        <f>VLOOKUP(B20,Table1data!$B:$O,7,FALSE)</f>
        <v>21</v>
      </c>
      <c r="H20" s="18">
        <f>VLOOKUP(B20,Table1data!$B:$O,8,FALSE)</f>
        <v>29</v>
      </c>
      <c r="I20" s="19">
        <f>VLOOKUP(B20,Table1data!$B:$O,9,FALSE)</f>
        <v>12</v>
      </c>
      <c r="J20" s="19">
        <f>VLOOKUP(B20,Table1data!$B:$O,10,FALSE)</f>
        <v>0</v>
      </c>
      <c r="K20" s="19">
        <f>VLOOKUP(B20,Table1data!$B:$O,11,FALSE)</f>
        <v>29</v>
      </c>
      <c r="L20" s="20">
        <f>VLOOKUP(B20,Table1data!$B:$O,12,FALSE)</f>
        <v>21</v>
      </c>
      <c r="M20" s="19">
        <f>VLOOKUP(B20,Table1data!$B:$O,13,FALSE)</f>
        <v>70</v>
      </c>
      <c r="N20" s="19">
        <f>VLOOKUP(B20,Table1data!$B:$O,14,FALSE)</f>
        <v>91</v>
      </c>
    </row>
    <row r="21" spans="1:14" ht="15">
      <c r="A21" s="7" t="s">
        <v>214</v>
      </c>
      <c r="B21" s="7" t="s">
        <v>215</v>
      </c>
      <c r="C21" s="19">
        <f>VLOOKUP(B21,Table1data!$B:$O,3,FALSE)</f>
        <v>101</v>
      </c>
      <c r="D21" s="19">
        <f>VLOOKUP(B21,Table1data!$B:$O,4,FALSE)</f>
        <v>0</v>
      </c>
      <c r="E21" s="19">
        <f>VLOOKUP(B21,Table1data!$B:$O,5,FALSE)</f>
        <v>2</v>
      </c>
      <c r="F21" s="19">
        <f>VLOOKUP(B21,Table1data!$B:$O,6,FALSE)</f>
        <v>3</v>
      </c>
      <c r="G21" s="19">
        <f>VLOOKUP(B21,Table1data!$B:$O,7,FALSE)</f>
        <v>15</v>
      </c>
      <c r="H21" s="18">
        <f>VLOOKUP(B21,Table1data!$B:$O,8,FALSE)</f>
        <v>101</v>
      </c>
      <c r="I21" s="19">
        <f>VLOOKUP(B21,Table1data!$B:$O,9,FALSE)</f>
        <v>0</v>
      </c>
      <c r="J21" s="19">
        <f>VLOOKUP(B21,Table1data!$B:$O,10,FALSE)</f>
        <v>2</v>
      </c>
      <c r="K21" s="19">
        <f>VLOOKUP(B21,Table1data!$B:$O,11,FALSE)</f>
        <v>3</v>
      </c>
      <c r="L21" s="20">
        <f>VLOOKUP(B21,Table1data!$B:$O,12,FALSE)</f>
        <v>15</v>
      </c>
      <c r="M21" s="19">
        <f>VLOOKUP(B21,Table1data!$B:$O,13,FALSE)</f>
        <v>106</v>
      </c>
      <c r="N21" s="19">
        <f>VLOOKUP(B21,Table1data!$B:$O,14,FALSE)</f>
        <v>121</v>
      </c>
    </row>
    <row r="22" spans="1:14" ht="15">
      <c r="A22" s="7" t="s">
        <v>216</v>
      </c>
      <c r="B22" s="7" t="s">
        <v>217</v>
      </c>
      <c r="C22" s="19">
        <f>VLOOKUP(B22,Table1data!$B:$O,3,FALSE)</f>
        <v>98</v>
      </c>
      <c r="D22" s="19">
        <f>VLOOKUP(B22,Table1data!$B:$O,4,FALSE)</f>
        <v>1</v>
      </c>
      <c r="E22" s="19">
        <f>VLOOKUP(B22,Table1data!$B:$O,5,FALSE)</f>
        <v>1</v>
      </c>
      <c r="F22" s="19">
        <f>VLOOKUP(B22,Table1data!$B:$O,6,FALSE)</f>
        <v>13</v>
      </c>
      <c r="G22" s="19">
        <f>VLOOKUP(B22,Table1data!$B:$O,7,FALSE)</f>
        <v>49</v>
      </c>
      <c r="H22" s="18">
        <f>VLOOKUP(B22,Table1data!$B:$O,8,FALSE)</f>
        <v>98</v>
      </c>
      <c r="I22" s="19">
        <f>VLOOKUP(B22,Table1data!$B:$O,9,FALSE)</f>
        <v>1</v>
      </c>
      <c r="J22" s="19">
        <f>VLOOKUP(B22,Table1data!$B:$O,10,FALSE)</f>
        <v>1</v>
      </c>
      <c r="K22" s="19">
        <f>VLOOKUP(B22,Table1data!$B:$O,11,FALSE)</f>
        <v>13</v>
      </c>
      <c r="L22" s="20">
        <f>VLOOKUP(B22,Table1data!$B:$O,12,FALSE)</f>
        <v>49</v>
      </c>
      <c r="M22" s="19">
        <f>VLOOKUP(B22,Table1data!$B:$O,13,FALSE)</f>
        <v>113</v>
      </c>
      <c r="N22" s="19">
        <f>VLOOKUP(B22,Table1data!$B:$O,14,FALSE)</f>
        <v>162</v>
      </c>
    </row>
    <row r="23" spans="1:14" ht="15">
      <c r="A23" s="7" t="s">
        <v>218</v>
      </c>
      <c r="B23" s="7" t="s">
        <v>219</v>
      </c>
      <c r="C23" s="19">
        <f>VLOOKUP(B23,Table1data!$B:$O,3,FALSE)</f>
        <v>99</v>
      </c>
      <c r="D23" s="19">
        <f>VLOOKUP(B23,Table1data!$B:$O,4,FALSE)</f>
        <v>0</v>
      </c>
      <c r="E23" s="19">
        <f>VLOOKUP(B23,Table1data!$B:$O,5,FALSE)</f>
        <v>0</v>
      </c>
      <c r="F23" s="19">
        <f>VLOOKUP(B23,Table1data!$B:$O,6,FALSE)</f>
        <v>9</v>
      </c>
      <c r="G23" s="19">
        <f>VLOOKUP(B23,Table1data!$B:$O,7,FALSE)</f>
        <v>8</v>
      </c>
      <c r="H23" s="18">
        <f>VLOOKUP(B23,Table1data!$B:$O,8,FALSE)</f>
        <v>99</v>
      </c>
      <c r="I23" s="19">
        <f>VLOOKUP(B23,Table1data!$B:$O,9,FALSE)</f>
        <v>0</v>
      </c>
      <c r="J23" s="19">
        <f>VLOOKUP(B23,Table1data!$B:$O,10,FALSE)</f>
        <v>0</v>
      </c>
      <c r="K23" s="19">
        <f>VLOOKUP(B23,Table1data!$B:$O,11,FALSE)</f>
        <v>9</v>
      </c>
      <c r="L23" s="20">
        <f>VLOOKUP(B23,Table1data!$B:$O,12,FALSE)</f>
        <v>8</v>
      </c>
      <c r="M23" s="19">
        <f>VLOOKUP(B23,Table1data!$B:$O,13,FALSE)</f>
        <v>108</v>
      </c>
      <c r="N23" s="19">
        <f>VLOOKUP(B23,Table1data!$B:$O,14,FALSE)</f>
        <v>116</v>
      </c>
    </row>
    <row r="24" spans="1:14" ht="15">
      <c r="A24" s="7" t="s">
        <v>220</v>
      </c>
      <c r="B24" s="7" t="s">
        <v>221</v>
      </c>
      <c r="C24" s="19">
        <f>VLOOKUP(B24,Table1data!$B:$O,3,FALSE)</f>
        <v>713</v>
      </c>
      <c r="D24" s="19">
        <f>VLOOKUP(B24,Table1data!$B:$O,4,FALSE)</f>
        <v>184</v>
      </c>
      <c r="E24" s="19">
        <f>VLOOKUP(B24,Table1data!$B:$O,5,FALSE)</f>
        <v>0</v>
      </c>
      <c r="F24" s="19">
        <f>VLOOKUP(B24,Table1data!$B:$O,6,FALSE)</f>
        <v>232</v>
      </c>
      <c r="G24" s="19">
        <f>VLOOKUP(B24,Table1data!$B:$O,7,FALSE)</f>
        <v>746</v>
      </c>
      <c r="H24" s="18">
        <f>VLOOKUP(B24,Table1data!$B:$O,8,FALSE)</f>
        <v>713</v>
      </c>
      <c r="I24" s="19">
        <f>VLOOKUP(B24,Table1data!$B:$O,9,FALSE)</f>
        <v>184</v>
      </c>
      <c r="J24" s="19">
        <f>VLOOKUP(B24,Table1data!$B:$O,10,FALSE)</f>
        <v>0</v>
      </c>
      <c r="K24" s="19">
        <f>VLOOKUP(B24,Table1data!$B:$O,11,FALSE)</f>
        <v>232</v>
      </c>
      <c r="L24" s="20">
        <f>VLOOKUP(B24,Table1data!$B:$O,12,FALSE)</f>
        <v>746</v>
      </c>
      <c r="M24" s="19">
        <f>VLOOKUP(B24,Table1data!$B:$O,13,FALSE)</f>
        <v>1129</v>
      </c>
      <c r="N24" s="19">
        <f>VLOOKUP(B24,Table1data!$B:$O,14,FALSE)</f>
        <v>1875</v>
      </c>
    </row>
    <row r="25" spans="1:14" ht="15">
      <c r="A25" s="7" t="s">
        <v>222</v>
      </c>
      <c r="B25" s="7" t="s">
        <v>223</v>
      </c>
      <c r="C25" s="84">
        <f>VLOOKUP(B25,Table1data!$B:$O,3,FALSE)</f>
        <v>661</v>
      </c>
      <c r="D25" s="85">
        <f>VLOOKUP(B25,Table1data!$B:$O,4,FALSE)</f>
        <v>64</v>
      </c>
      <c r="E25" s="85">
        <f>VLOOKUP(B25,Table1data!$B:$O,5,FALSE)</f>
        <v>0</v>
      </c>
      <c r="F25" s="85">
        <f>VLOOKUP(B25,Table1data!$B:$O,6,FALSE)</f>
        <v>161</v>
      </c>
      <c r="G25" s="85">
        <f>VLOOKUP(B25,Table1data!$B:$O,7,FALSE)</f>
        <v>155</v>
      </c>
      <c r="H25" s="87">
        <f>VLOOKUP(B25,Table1data!$B:$O,8,FALSE)</f>
        <v>557</v>
      </c>
      <c r="I25" s="85">
        <f>VLOOKUP(B25,Table1data!$B:$O,9,FALSE)</f>
        <v>49</v>
      </c>
      <c r="J25" s="85">
        <f>VLOOKUP(B25,Table1data!$B:$O,10,FALSE)</f>
        <v>0</v>
      </c>
      <c r="K25" s="85">
        <f>VLOOKUP(B25,Table1data!$B:$O,11,FALSE)</f>
        <v>140</v>
      </c>
      <c r="L25" s="88">
        <f>VLOOKUP(B25,Table1data!$B:$O,12,FALSE)</f>
        <v>137</v>
      </c>
      <c r="M25" s="85">
        <f>VLOOKUP(B25,Table1data!$B:$O,13,FALSE)</f>
        <v>886</v>
      </c>
      <c r="N25" s="85">
        <f>VLOOKUP(B25,Table1data!$B:$O,14,FALSE)</f>
        <v>1041</v>
      </c>
    </row>
    <row r="26" spans="1:14" ht="15">
      <c r="A26" s="8"/>
      <c r="B26" s="8"/>
      <c r="C26" s="22">
        <f aca="true" t="shared" si="0" ref="C26:N26">SUM(C7:C25)</f>
        <v>3453</v>
      </c>
      <c r="D26" s="22">
        <f t="shared" si="0"/>
        <v>359</v>
      </c>
      <c r="E26" s="22">
        <f t="shared" si="0"/>
        <v>1617</v>
      </c>
      <c r="F26" s="22">
        <f t="shared" si="0"/>
        <v>590</v>
      </c>
      <c r="G26" s="22">
        <f t="shared" si="0"/>
        <v>2271</v>
      </c>
      <c r="H26" s="21">
        <f t="shared" si="0"/>
        <v>3347</v>
      </c>
      <c r="I26" s="22">
        <f t="shared" si="0"/>
        <v>343</v>
      </c>
      <c r="J26" s="22">
        <f t="shared" si="0"/>
        <v>1616</v>
      </c>
      <c r="K26" s="22">
        <f t="shared" si="0"/>
        <v>569</v>
      </c>
      <c r="L26" s="23">
        <f t="shared" si="0"/>
        <v>2252</v>
      </c>
      <c r="M26" s="22">
        <f t="shared" si="0"/>
        <v>6019</v>
      </c>
      <c r="N26" s="22">
        <f t="shared" si="0"/>
        <v>8290</v>
      </c>
    </row>
    <row r="27" spans="1:14" ht="15">
      <c r="A27" s="8"/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>
      <c r="A28" s="9">
        <v>1976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>
      <c r="A29" s="7" t="s">
        <v>224</v>
      </c>
      <c r="B29" s="7" t="s">
        <v>225</v>
      </c>
      <c r="C29" s="16">
        <f>VLOOKUP(B29,Table1data!$B:$O,3,FALSE)</f>
        <v>56</v>
      </c>
      <c r="D29" s="19">
        <f>VLOOKUP(B29,Table1data!$B:$O,4,FALSE)</f>
        <v>3</v>
      </c>
      <c r="E29" s="19">
        <f>VLOOKUP(B29,Table1data!$B:$O,5,FALSE)</f>
        <v>13</v>
      </c>
      <c r="F29" s="19">
        <f>VLOOKUP(B29,Table1data!$B:$O,6,FALSE)</f>
        <v>2</v>
      </c>
      <c r="G29" s="19">
        <f>VLOOKUP(B29,Table1data!$B:$O,7,FALSE)</f>
        <v>1</v>
      </c>
      <c r="H29" s="18">
        <f>VLOOKUP(B29,Table1data!$B:$O,8,FALSE)</f>
        <v>56</v>
      </c>
      <c r="I29" s="19">
        <f>VLOOKUP(B29,Table1data!$B:$O,9,FALSE)</f>
        <v>3</v>
      </c>
      <c r="J29" s="19">
        <f>VLOOKUP(B29,Table1data!$B:$O,10,FALSE)</f>
        <v>13</v>
      </c>
      <c r="K29" s="19">
        <f>VLOOKUP(B29,Table1data!$B:$O,11,FALSE)</f>
        <v>2</v>
      </c>
      <c r="L29" s="20">
        <f>VLOOKUP(B29,Table1data!$B:$O,12,FALSE)</f>
        <v>1</v>
      </c>
      <c r="M29" s="19">
        <f>VLOOKUP(B29,Table1data!$B:$O,13,FALSE)</f>
        <v>74</v>
      </c>
      <c r="N29" s="19">
        <f>VLOOKUP(B29,Table1data!$B:$O,14,FALSE)</f>
        <v>75</v>
      </c>
    </row>
    <row r="30" spans="1:14" ht="15">
      <c r="A30" s="7" t="s">
        <v>226</v>
      </c>
      <c r="B30" s="7" t="s">
        <v>227</v>
      </c>
      <c r="C30" s="16">
        <f>VLOOKUP(B30,Table1data!$B:$O,3,FALSE)</f>
        <v>141</v>
      </c>
      <c r="D30" s="19">
        <f>VLOOKUP(B30,Table1data!$B:$O,4,FALSE)</f>
        <v>2</v>
      </c>
      <c r="E30" s="19">
        <f>VLOOKUP(B30,Table1data!$B:$O,5,FALSE)</f>
        <v>18</v>
      </c>
      <c r="F30" s="19">
        <f>VLOOKUP(B30,Table1data!$B:$O,6,FALSE)</f>
        <v>2</v>
      </c>
      <c r="G30" s="19">
        <f>VLOOKUP(B30,Table1data!$B:$O,7,FALSE)</f>
        <v>2</v>
      </c>
      <c r="H30" s="18">
        <f>VLOOKUP(B30,Table1data!$B:$O,8,FALSE)</f>
        <v>141</v>
      </c>
      <c r="I30" s="19">
        <f>VLOOKUP(B30,Table1data!$B:$O,9,FALSE)</f>
        <v>2</v>
      </c>
      <c r="J30" s="19">
        <f>VLOOKUP(B30,Table1data!$B:$O,10,FALSE)</f>
        <v>18</v>
      </c>
      <c r="K30" s="19">
        <f>VLOOKUP(B30,Table1data!$B:$O,11,FALSE)</f>
        <v>2</v>
      </c>
      <c r="L30" s="20">
        <f>VLOOKUP(B30,Table1data!$B:$O,12,FALSE)</f>
        <v>2</v>
      </c>
      <c r="M30" s="19">
        <f>VLOOKUP(B30,Table1data!$B:$O,13,FALSE)</f>
        <v>163</v>
      </c>
      <c r="N30" s="19">
        <f>VLOOKUP(B30,Table1data!$B:$O,14,FALSE)</f>
        <v>165</v>
      </c>
    </row>
    <row r="31" spans="1:14" ht="15">
      <c r="A31" s="7" t="s">
        <v>228</v>
      </c>
      <c r="B31" s="7" t="s">
        <v>229</v>
      </c>
      <c r="C31" s="16">
        <f>VLOOKUP(B31,Table1data!$B:$O,3,FALSE)</f>
        <v>665</v>
      </c>
      <c r="D31" s="19">
        <f>VLOOKUP(B31,Table1data!$B:$O,4,FALSE)</f>
        <v>2</v>
      </c>
      <c r="E31" s="19">
        <f>VLOOKUP(B31,Table1data!$B:$O,5,FALSE)</f>
        <v>172</v>
      </c>
      <c r="F31" s="19">
        <f>VLOOKUP(B31,Table1data!$B:$O,6,FALSE)</f>
        <v>0</v>
      </c>
      <c r="G31" s="19">
        <f>VLOOKUP(B31,Table1data!$B:$O,7,FALSE)</f>
        <v>0</v>
      </c>
      <c r="H31" s="18">
        <f>VLOOKUP(B31,Table1data!$B:$O,8,FALSE)</f>
        <v>665</v>
      </c>
      <c r="I31" s="19">
        <f>VLOOKUP(B31,Table1data!$B:$O,9,FALSE)</f>
        <v>2</v>
      </c>
      <c r="J31" s="19">
        <f>VLOOKUP(B31,Table1data!$B:$O,10,FALSE)</f>
        <v>172</v>
      </c>
      <c r="K31" s="19">
        <f>VLOOKUP(B31,Table1data!$B:$O,11,FALSE)</f>
        <v>0</v>
      </c>
      <c r="L31" s="20">
        <f>VLOOKUP(B31,Table1data!$B:$O,12,FALSE)</f>
        <v>0</v>
      </c>
      <c r="M31" s="19">
        <f>VLOOKUP(B31,Table1data!$B:$O,13,FALSE)</f>
        <v>839</v>
      </c>
      <c r="N31" s="19">
        <f>VLOOKUP(B31,Table1data!$B:$O,14,FALSE)</f>
        <v>839</v>
      </c>
    </row>
    <row r="32" spans="1:14" ht="15">
      <c r="A32" s="7" t="s">
        <v>230</v>
      </c>
      <c r="B32" s="7" t="s">
        <v>231</v>
      </c>
      <c r="C32" s="16">
        <f>VLOOKUP(B32,Table1data!$B:$O,3,FALSE)</f>
        <v>54</v>
      </c>
      <c r="D32" s="19">
        <f>VLOOKUP(B32,Table1data!$B:$O,4,FALSE)</f>
        <v>3</v>
      </c>
      <c r="E32" s="19">
        <f>VLOOKUP(B32,Table1data!$B:$O,5,FALSE)</f>
        <v>157</v>
      </c>
      <c r="F32" s="19">
        <f>VLOOKUP(B32,Table1data!$B:$O,6,FALSE)</f>
        <v>5</v>
      </c>
      <c r="G32" s="19">
        <f>VLOOKUP(B32,Table1data!$B:$O,7,FALSE)</f>
        <v>1</v>
      </c>
      <c r="H32" s="18">
        <f>VLOOKUP(B32,Table1data!$B:$O,8,FALSE)</f>
        <v>54</v>
      </c>
      <c r="I32" s="19">
        <f>VLOOKUP(B32,Table1data!$B:$O,9,FALSE)</f>
        <v>3</v>
      </c>
      <c r="J32" s="19">
        <f>VLOOKUP(B32,Table1data!$B:$O,10,FALSE)</f>
        <v>157</v>
      </c>
      <c r="K32" s="19">
        <f>VLOOKUP(B32,Table1data!$B:$O,11,FALSE)</f>
        <v>5</v>
      </c>
      <c r="L32" s="20">
        <f>VLOOKUP(B32,Table1data!$B:$O,12,FALSE)</f>
        <v>1</v>
      </c>
      <c r="M32" s="19">
        <f>VLOOKUP(B32,Table1data!$B:$O,13,FALSE)</f>
        <v>219</v>
      </c>
      <c r="N32" s="19">
        <f>VLOOKUP(B32,Table1data!$B:$O,14,FALSE)</f>
        <v>220</v>
      </c>
    </row>
    <row r="33" spans="1:14" ht="15">
      <c r="A33" s="7" t="s">
        <v>232</v>
      </c>
      <c r="B33" s="7" t="s">
        <v>233</v>
      </c>
      <c r="C33" s="16">
        <f>VLOOKUP(B33,Table1data!$B:$O,3,FALSE)</f>
        <v>680</v>
      </c>
      <c r="D33" s="19">
        <f>VLOOKUP(B33,Table1data!$B:$O,4,FALSE)</f>
        <v>19</v>
      </c>
      <c r="E33" s="19">
        <f>VLOOKUP(B33,Table1data!$B:$O,5,FALSE)</f>
        <v>0</v>
      </c>
      <c r="F33" s="19">
        <f>VLOOKUP(B33,Table1data!$B:$O,6,FALSE)</f>
        <v>12</v>
      </c>
      <c r="G33" s="19">
        <f>VLOOKUP(B33,Table1data!$B:$O,7,FALSE)</f>
        <v>1</v>
      </c>
      <c r="H33" s="18">
        <f>VLOOKUP(B33,Table1data!$B:$O,8,FALSE)</f>
        <v>680</v>
      </c>
      <c r="I33" s="19">
        <f>VLOOKUP(B33,Table1data!$B:$O,9,FALSE)</f>
        <v>19</v>
      </c>
      <c r="J33" s="19">
        <f>VLOOKUP(B33,Table1data!$B:$O,10,FALSE)</f>
        <v>0</v>
      </c>
      <c r="K33" s="19">
        <f>VLOOKUP(B33,Table1data!$B:$O,11,FALSE)</f>
        <v>12</v>
      </c>
      <c r="L33" s="20">
        <f>VLOOKUP(B33,Table1data!$B:$O,12,FALSE)</f>
        <v>1</v>
      </c>
      <c r="M33" s="19">
        <f>VLOOKUP(B33,Table1data!$B:$O,13,FALSE)</f>
        <v>711</v>
      </c>
      <c r="N33" s="19">
        <f>VLOOKUP(B33,Table1data!$B:$O,14,FALSE)</f>
        <v>712</v>
      </c>
    </row>
    <row r="34" spans="1:14" ht="15">
      <c r="A34" s="7" t="s">
        <v>234</v>
      </c>
      <c r="B34" s="7" t="s">
        <v>235</v>
      </c>
      <c r="C34" s="84">
        <f>VLOOKUP(B34,Table1data!$B:$O,3,FALSE)</f>
        <v>178</v>
      </c>
      <c r="D34" s="85">
        <f>VLOOKUP(B34,Table1data!$B:$O,4,FALSE)</f>
        <v>1</v>
      </c>
      <c r="E34" s="85">
        <f>VLOOKUP(B34,Table1data!$B:$O,5,FALSE)</f>
        <v>23</v>
      </c>
      <c r="F34" s="85">
        <f>VLOOKUP(B34,Table1data!$B:$O,6,FALSE)</f>
        <v>2</v>
      </c>
      <c r="G34" s="85">
        <f>VLOOKUP(B34,Table1data!$B:$O,7,FALSE)</f>
        <v>0</v>
      </c>
      <c r="H34" s="87">
        <f>VLOOKUP(B34,Table1data!$B:$O,8,FALSE)</f>
        <v>178</v>
      </c>
      <c r="I34" s="85">
        <f>VLOOKUP(B34,Table1data!$B:$O,9,FALSE)</f>
        <v>1</v>
      </c>
      <c r="J34" s="85">
        <f>VLOOKUP(B34,Table1data!$B:$O,10,FALSE)</f>
        <v>23</v>
      </c>
      <c r="K34" s="85">
        <f>VLOOKUP(B34,Table1data!$B:$O,11,FALSE)</f>
        <v>2</v>
      </c>
      <c r="L34" s="88">
        <f>VLOOKUP(B34,Table1data!$B:$O,12,FALSE)</f>
        <v>0</v>
      </c>
      <c r="M34" s="85">
        <f>VLOOKUP(B34,Table1data!$B:$O,13,FALSE)</f>
        <v>204</v>
      </c>
      <c r="N34" s="85">
        <f>VLOOKUP(B34,Table1data!$B:$O,14,FALSE)</f>
        <v>204</v>
      </c>
    </row>
    <row r="35" spans="1:14" ht="15">
      <c r="A35" s="8"/>
      <c r="B35" s="8"/>
      <c r="C35" s="22">
        <f>SUM(C29:C34)</f>
        <v>1774</v>
      </c>
      <c r="D35" s="22">
        <f aca="true" t="shared" si="1" ref="D35:N35">SUM(D29:D34)</f>
        <v>30</v>
      </c>
      <c r="E35" s="22">
        <f t="shared" si="1"/>
        <v>383</v>
      </c>
      <c r="F35" s="22">
        <f t="shared" si="1"/>
        <v>23</v>
      </c>
      <c r="G35" s="22">
        <f t="shared" si="1"/>
        <v>5</v>
      </c>
      <c r="H35" s="21">
        <f t="shared" si="1"/>
        <v>1774</v>
      </c>
      <c r="I35" s="22">
        <f t="shared" si="1"/>
        <v>30</v>
      </c>
      <c r="J35" s="22">
        <f t="shared" si="1"/>
        <v>383</v>
      </c>
      <c r="K35" s="22">
        <f t="shared" si="1"/>
        <v>23</v>
      </c>
      <c r="L35" s="23">
        <f t="shared" si="1"/>
        <v>5</v>
      </c>
      <c r="M35" s="22">
        <f t="shared" si="1"/>
        <v>2210</v>
      </c>
      <c r="N35" s="22">
        <f t="shared" si="1"/>
        <v>2215</v>
      </c>
    </row>
    <row r="36" spans="1:14" ht="15">
      <c r="A36" s="8"/>
      <c r="B36" s="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9" t="s">
        <v>236</v>
      </c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7" t="s">
        <v>237</v>
      </c>
      <c r="B38" s="7" t="s">
        <v>238</v>
      </c>
      <c r="C38" s="16">
        <f>VLOOKUP(B38,Table1data!$B:$O,3,FALSE)</f>
        <v>4</v>
      </c>
      <c r="D38" s="19">
        <f>VLOOKUP(B38,Table1data!$B:$O,4,FALSE)</f>
        <v>0</v>
      </c>
      <c r="E38" s="19">
        <f>VLOOKUP(B38,Table1data!$B:$O,5,FALSE)</f>
        <v>37</v>
      </c>
      <c r="F38" s="19">
        <f>VLOOKUP(B38,Table1data!$B:$O,6,FALSE)</f>
        <v>0</v>
      </c>
      <c r="G38" s="19">
        <f>VLOOKUP(B38,Table1data!$B:$O,7,FALSE)</f>
        <v>6</v>
      </c>
      <c r="H38" s="18">
        <f>VLOOKUP(B38,Table1data!$B:$O,8,FALSE)</f>
        <v>4</v>
      </c>
      <c r="I38" s="19">
        <f>VLOOKUP(B38,Table1data!$B:$O,9,FALSE)</f>
        <v>0</v>
      </c>
      <c r="J38" s="19">
        <f>VLOOKUP(B38,Table1data!$B:$O,10,FALSE)</f>
        <v>37</v>
      </c>
      <c r="K38" s="19">
        <f>VLOOKUP(B38,Table1data!$B:$O,11,FALSE)</f>
        <v>0</v>
      </c>
      <c r="L38" s="20">
        <f>VLOOKUP(B38,Table1data!$B:$O,12,FALSE)</f>
        <v>6</v>
      </c>
      <c r="M38" s="19">
        <f>VLOOKUP(B38,Table1data!$B:$O,13,FALSE)</f>
        <v>41</v>
      </c>
      <c r="N38" s="19">
        <f>VLOOKUP(B38,Table1data!$B:$O,14,FALSE)</f>
        <v>47</v>
      </c>
    </row>
    <row r="39" spans="1:14" ht="15">
      <c r="A39" s="7" t="s">
        <v>239</v>
      </c>
      <c r="B39" s="7" t="s">
        <v>240</v>
      </c>
      <c r="C39" s="16">
        <f>VLOOKUP(B39,Table1data!$B:$O,3,FALSE)</f>
        <v>18</v>
      </c>
      <c r="D39" s="19">
        <f>VLOOKUP(B39,Table1data!$B:$O,4,FALSE)</f>
        <v>0</v>
      </c>
      <c r="E39" s="19">
        <f>VLOOKUP(B39,Table1data!$B:$O,5,FALSE)</f>
        <v>65</v>
      </c>
      <c r="F39" s="19">
        <f>VLOOKUP(B39,Table1data!$B:$O,6,FALSE)</f>
        <v>1</v>
      </c>
      <c r="G39" s="19">
        <f>VLOOKUP(B39,Table1data!$B:$O,7,FALSE)</f>
        <v>27</v>
      </c>
      <c r="H39" s="18">
        <f>VLOOKUP(B39,Table1data!$B:$O,8,FALSE)</f>
        <v>18</v>
      </c>
      <c r="I39" s="19">
        <f>VLOOKUP(B39,Table1data!$B:$O,9,FALSE)</f>
        <v>0</v>
      </c>
      <c r="J39" s="19">
        <f>VLOOKUP(B39,Table1data!$B:$O,10,FALSE)</f>
        <v>65</v>
      </c>
      <c r="K39" s="19">
        <f>VLOOKUP(B39,Table1data!$B:$O,11,FALSE)</f>
        <v>1</v>
      </c>
      <c r="L39" s="20">
        <f>VLOOKUP(B39,Table1data!$B:$O,12,FALSE)</f>
        <v>27</v>
      </c>
      <c r="M39" s="19">
        <f>VLOOKUP(B39,Table1data!$B:$O,13,FALSE)</f>
        <v>84</v>
      </c>
      <c r="N39" s="19">
        <f>VLOOKUP(B39,Table1data!$B:$O,14,FALSE)</f>
        <v>111</v>
      </c>
    </row>
    <row r="40" spans="1:14" ht="15">
      <c r="A40" s="7" t="s">
        <v>241</v>
      </c>
      <c r="B40" s="7" t="s">
        <v>242</v>
      </c>
      <c r="C40" s="16">
        <f>VLOOKUP(B40,Table1data!$B:$O,3,FALSE)</f>
        <v>32</v>
      </c>
      <c r="D40" s="19">
        <f>VLOOKUP(B40,Table1data!$B:$O,4,FALSE)</f>
        <v>42</v>
      </c>
      <c r="E40" s="19">
        <f>VLOOKUP(B40,Table1data!$B:$O,5,FALSE)</f>
        <v>0</v>
      </c>
      <c r="F40" s="19">
        <f>VLOOKUP(B40,Table1data!$B:$O,6,FALSE)</f>
        <v>20</v>
      </c>
      <c r="G40" s="19">
        <f>VLOOKUP(B40,Table1data!$B:$O,7,FALSE)</f>
        <v>11</v>
      </c>
      <c r="H40" s="18">
        <f>VLOOKUP(B40,Table1data!$B:$O,8,FALSE)</f>
        <v>32</v>
      </c>
      <c r="I40" s="19">
        <f>VLOOKUP(B40,Table1data!$B:$O,9,FALSE)</f>
        <v>42</v>
      </c>
      <c r="J40" s="19">
        <f>VLOOKUP(B40,Table1data!$B:$O,10,FALSE)</f>
        <v>0</v>
      </c>
      <c r="K40" s="19">
        <f>VLOOKUP(B40,Table1data!$B:$O,11,FALSE)</f>
        <v>20</v>
      </c>
      <c r="L40" s="20">
        <f>VLOOKUP(B40,Table1data!$B:$O,12,FALSE)</f>
        <v>11</v>
      </c>
      <c r="M40" s="19">
        <f>VLOOKUP(B40,Table1data!$B:$O,13,FALSE)</f>
        <v>94</v>
      </c>
      <c r="N40" s="19">
        <f>VLOOKUP(B40,Table1data!$B:$O,14,FALSE)</f>
        <v>105</v>
      </c>
    </row>
    <row r="41" spans="1:14" ht="15">
      <c r="A41" s="7" t="s">
        <v>243</v>
      </c>
      <c r="B41" s="7" t="s">
        <v>244</v>
      </c>
      <c r="C41" s="84">
        <f>VLOOKUP(B41,Table1data!$B:$O,3,FALSE)</f>
        <v>46</v>
      </c>
      <c r="D41" s="85">
        <f>VLOOKUP(B41,Table1data!$B:$O,4,FALSE)</f>
        <v>3</v>
      </c>
      <c r="E41" s="85">
        <f>VLOOKUP(B41,Table1data!$B:$O,5,FALSE)</f>
        <v>4</v>
      </c>
      <c r="F41" s="85">
        <f>VLOOKUP(B41,Table1data!$B:$O,6,FALSE)</f>
        <v>14</v>
      </c>
      <c r="G41" s="85">
        <f>VLOOKUP(B41,Table1data!$B:$O,7,FALSE)</f>
        <v>8</v>
      </c>
      <c r="H41" s="87">
        <f>VLOOKUP(B41,Table1data!$B:$O,8,FALSE)</f>
        <v>46</v>
      </c>
      <c r="I41" s="85">
        <f>VLOOKUP(B41,Table1data!$B:$O,9,FALSE)</f>
        <v>3</v>
      </c>
      <c r="J41" s="85">
        <f>VLOOKUP(B41,Table1data!$B:$O,10,FALSE)</f>
        <v>4</v>
      </c>
      <c r="K41" s="85">
        <f>VLOOKUP(B41,Table1data!$B:$O,11,FALSE)</f>
        <v>14</v>
      </c>
      <c r="L41" s="88">
        <f>VLOOKUP(B41,Table1data!$B:$O,12,FALSE)</f>
        <v>8</v>
      </c>
      <c r="M41" s="85">
        <f>VLOOKUP(B41,Table1data!$B:$O,13,FALSE)</f>
        <v>67</v>
      </c>
      <c r="N41" s="85">
        <f>VLOOKUP(B41,Table1data!$B:$O,14,FALSE)</f>
        <v>75</v>
      </c>
    </row>
    <row r="42" spans="1:14" ht="15">
      <c r="A42" s="8"/>
      <c r="B42" s="8"/>
      <c r="C42" s="22">
        <f>SUM(C38:C41)</f>
        <v>100</v>
      </c>
      <c r="D42" s="22">
        <f aca="true" t="shared" si="2" ref="D42:N42">SUM(D38:D41)</f>
        <v>45</v>
      </c>
      <c r="E42" s="22">
        <f t="shared" si="2"/>
        <v>106</v>
      </c>
      <c r="F42" s="22">
        <f t="shared" si="2"/>
        <v>35</v>
      </c>
      <c r="G42" s="22">
        <f t="shared" si="2"/>
        <v>52</v>
      </c>
      <c r="H42" s="21">
        <f t="shared" si="2"/>
        <v>100</v>
      </c>
      <c r="I42" s="22">
        <f t="shared" si="2"/>
        <v>45</v>
      </c>
      <c r="J42" s="22">
        <f t="shared" si="2"/>
        <v>106</v>
      </c>
      <c r="K42" s="22">
        <f t="shared" si="2"/>
        <v>35</v>
      </c>
      <c r="L42" s="23">
        <f t="shared" si="2"/>
        <v>52</v>
      </c>
      <c r="M42" s="22">
        <f t="shared" si="2"/>
        <v>286</v>
      </c>
      <c r="N42" s="22">
        <f t="shared" si="2"/>
        <v>338</v>
      </c>
    </row>
    <row r="43" spans="1:14" ht="15">
      <c r="A43" s="8"/>
      <c r="B43" s="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>
      <c r="A44" s="9" t="s">
        <v>245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>
      <c r="A45" s="7" t="s">
        <v>246</v>
      </c>
      <c r="B45" s="7" t="s">
        <v>247</v>
      </c>
      <c r="C45" s="16">
        <f>VLOOKUP(B45,Table1data!$B:$O,3,FALSE)</f>
        <v>792</v>
      </c>
      <c r="D45" s="19">
        <f>VLOOKUP(B45,Table1data!$B:$O,4,FALSE)</f>
        <v>10</v>
      </c>
      <c r="E45" s="19">
        <f>VLOOKUP(B45,Table1data!$B:$O,5,FALSE)</f>
        <v>1155</v>
      </c>
      <c r="F45" s="19">
        <f>VLOOKUP(B45,Table1data!$B:$O,6,FALSE)</f>
        <v>48</v>
      </c>
      <c r="G45" s="19">
        <f>VLOOKUP(B45,Table1data!$B:$O,7,FALSE)</f>
        <v>156</v>
      </c>
      <c r="H45" s="18">
        <f>VLOOKUP(B45,Table1data!$B:$O,8,FALSE)</f>
        <v>324</v>
      </c>
      <c r="I45" s="19">
        <f>VLOOKUP(B45,Table1data!$B:$O,9,FALSE)</f>
        <v>1</v>
      </c>
      <c r="J45" s="19">
        <f>VLOOKUP(B45,Table1data!$B:$O,10,FALSE)</f>
        <v>332</v>
      </c>
      <c r="K45" s="19">
        <f>VLOOKUP(B45,Table1data!$B:$O,11,FALSE)</f>
        <v>11</v>
      </c>
      <c r="L45" s="20">
        <f>VLOOKUP(B45,Table1data!$B:$O,12,FALSE)</f>
        <v>37</v>
      </c>
      <c r="M45" s="19">
        <f>VLOOKUP(B45,Table1data!$B:$O,13,FALSE)</f>
        <v>2005</v>
      </c>
      <c r="N45" s="19">
        <f>VLOOKUP(B45,Table1data!$B:$O,14,FALSE)</f>
        <v>2161</v>
      </c>
    </row>
    <row r="46" spans="1:14" ht="15">
      <c r="A46" s="7" t="s">
        <v>248</v>
      </c>
      <c r="B46" s="7" t="s">
        <v>249</v>
      </c>
      <c r="C46" s="16">
        <f>VLOOKUP(B46,Table1data!$B:$O,3,FALSE)</f>
        <v>8</v>
      </c>
      <c r="D46" s="19">
        <f>VLOOKUP(B46,Table1data!$B:$O,4,FALSE)</f>
        <v>2</v>
      </c>
      <c r="E46" s="19">
        <f>VLOOKUP(B46,Table1data!$B:$O,5,FALSE)</f>
        <v>37</v>
      </c>
      <c r="F46" s="19">
        <f>VLOOKUP(B46,Table1data!$B:$O,6,FALSE)</f>
        <v>2</v>
      </c>
      <c r="G46" s="19">
        <f>VLOOKUP(B46,Table1data!$B:$O,7,FALSE)</f>
        <v>22</v>
      </c>
      <c r="H46" s="18">
        <f>VLOOKUP(B46,Table1data!$B:$O,8,FALSE)</f>
        <v>8</v>
      </c>
      <c r="I46" s="19">
        <f>VLOOKUP(B46,Table1data!$B:$O,9,FALSE)</f>
        <v>2</v>
      </c>
      <c r="J46" s="19">
        <f>VLOOKUP(B46,Table1data!$B:$O,10,FALSE)</f>
        <v>37</v>
      </c>
      <c r="K46" s="19">
        <f>VLOOKUP(B46,Table1data!$B:$O,11,FALSE)</f>
        <v>2</v>
      </c>
      <c r="L46" s="20">
        <f>VLOOKUP(B46,Table1data!$B:$O,12,FALSE)</f>
        <v>22</v>
      </c>
      <c r="M46" s="19">
        <f>VLOOKUP(B46,Table1data!$B:$O,13,FALSE)</f>
        <v>49</v>
      </c>
      <c r="N46" s="19">
        <f>VLOOKUP(B46,Table1data!$B:$O,14,FALSE)</f>
        <v>71</v>
      </c>
    </row>
    <row r="47" spans="1:14" ht="15">
      <c r="A47" s="7" t="s">
        <v>250</v>
      </c>
      <c r="B47" s="7" t="s">
        <v>251</v>
      </c>
      <c r="C47" s="16">
        <f>VLOOKUP(B47,Table1data!$B:$O,3,FALSE)</f>
        <v>0</v>
      </c>
      <c r="D47" s="19">
        <f>VLOOKUP(B47,Table1data!$B:$O,4,FALSE)</f>
        <v>0</v>
      </c>
      <c r="E47" s="19">
        <f>VLOOKUP(B47,Table1data!$B:$O,5,FALSE)</f>
        <v>10</v>
      </c>
      <c r="F47" s="19">
        <f>VLOOKUP(B47,Table1data!$B:$O,6,FALSE)</f>
        <v>0</v>
      </c>
      <c r="G47" s="19">
        <f>VLOOKUP(B47,Table1data!$B:$O,7,FALSE)</f>
        <v>3</v>
      </c>
      <c r="H47" s="18">
        <f>VLOOKUP(B47,Table1data!$B:$O,8,FALSE)</f>
        <v>0</v>
      </c>
      <c r="I47" s="19">
        <f>VLOOKUP(B47,Table1data!$B:$O,9,FALSE)</f>
        <v>0</v>
      </c>
      <c r="J47" s="19">
        <f>VLOOKUP(B47,Table1data!$B:$O,10,FALSE)</f>
        <v>10</v>
      </c>
      <c r="K47" s="19">
        <f>VLOOKUP(B47,Table1data!$B:$O,11,FALSE)</f>
        <v>0</v>
      </c>
      <c r="L47" s="20">
        <f>VLOOKUP(B47,Table1data!$B:$O,12,FALSE)</f>
        <v>3</v>
      </c>
      <c r="M47" s="19">
        <f>VLOOKUP(B47,Table1data!$B:$O,13,FALSE)</f>
        <v>10</v>
      </c>
      <c r="N47" s="19">
        <f>VLOOKUP(B47,Table1data!$B:$O,14,FALSE)</f>
        <v>13</v>
      </c>
    </row>
    <row r="48" spans="1:14" ht="15">
      <c r="A48" s="7" t="s">
        <v>252</v>
      </c>
      <c r="B48" s="7" t="s">
        <v>253</v>
      </c>
      <c r="C48" s="16">
        <f>VLOOKUP(B48,Table1data!$B:$O,3,FALSE)</f>
        <v>1</v>
      </c>
      <c r="D48" s="19">
        <f>VLOOKUP(B48,Table1data!$B:$O,4,FALSE)</f>
        <v>0</v>
      </c>
      <c r="E48" s="19">
        <f>VLOOKUP(B48,Table1data!$B:$O,5,FALSE)</f>
        <v>1</v>
      </c>
      <c r="F48" s="19">
        <f>VLOOKUP(B48,Table1data!$B:$O,6,FALSE)</f>
        <v>0</v>
      </c>
      <c r="G48" s="19">
        <f>VLOOKUP(B48,Table1data!$B:$O,7,FALSE)</f>
        <v>1</v>
      </c>
      <c r="H48" s="18">
        <f>VLOOKUP(B48,Table1data!$B:$O,8,FALSE)</f>
        <v>1</v>
      </c>
      <c r="I48" s="19">
        <f>VLOOKUP(B48,Table1data!$B:$O,9,FALSE)</f>
        <v>0</v>
      </c>
      <c r="J48" s="19">
        <f>VLOOKUP(B48,Table1data!$B:$O,10,FALSE)</f>
        <v>1</v>
      </c>
      <c r="K48" s="19">
        <f>VLOOKUP(B48,Table1data!$B:$O,11,FALSE)</f>
        <v>0</v>
      </c>
      <c r="L48" s="20">
        <f>VLOOKUP(B48,Table1data!$B:$O,12,FALSE)</f>
        <v>0</v>
      </c>
      <c r="M48" s="19">
        <f>VLOOKUP(B48,Table1data!$B:$O,13,FALSE)</f>
        <v>2</v>
      </c>
      <c r="N48" s="19">
        <f>VLOOKUP(B48,Table1data!$B:$O,14,FALSE)</f>
        <v>3</v>
      </c>
    </row>
    <row r="49" spans="1:14" ht="15">
      <c r="A49" s="7" t="s">
        <v>254</v>
      </c>
      <c r="B49" s="7" t="s">
        <v>255</v>
      </c>
      <c r="C49" s="16">
        <f>VLOOKUP(B49,Table1data!$B:$O,3,FALSE)</f>
        <v>1</v>
      </c>
      <c r="D49" s="19">
        <f>VLOOKUP(B49,Table1data!$B:$O,4,FALSE)</f>
        <v>0</v>
      </c>
      <c r="E49" s="19">
        <f>VLOOKUP(B49,Table1data!$B:$O,5,FALSE)</f>
        <v>3</v>
      </c>
      <c r="F49" s="19">
        <f>VLOOKUP(B49,Table1data!$B:$O,6,FALSE)</f>
        <v>0</v>
      </c>
      <c r="G49" s="19">
        <f>VLOOKUP(B49,Table1data!$B:$O,7,FALSE)</f>
        <v>2</v>
      </c>
      <c r="H49" s="18">
        <f>VLOOKUP(B49,Table1data!$B:$O,8,FALSE)</f>
        <v>1</v>
      </c>
      <c r="I49" s="19">
        <f>VLOOKUP(B49,Table1data!$B:$O,9,FALSE)</f>
        <v>0</v>
      </c>
      <c r="J49" s="19">
        <f>VLOOKUP(B49,Table1data!$B:$O,10,FALSE)</f>
        <v>3</v>
      </c>
      <c r="K49" s="19">
        <f>VLOOKUP(B49,Table1data!$B:$O,11,FALSE)</f>
        <v>0</v>
      </c>
      <c r="L49" s="20">
        <f>VLOOKUP(B49,Table1data!$B:$O,12,FALSE)</f>
        <v>2</v>
      </c>
      <c r="M49" s="19">
        <f>VLOOKUP(B49,Table1data!$B:$O,13,FALSE)</f>
        <v>4</v>
      </c>
      <c r="N49" s="19">
        <f>VLOOKUP(B49,Table1data!$B:$O,14,FALSE)</f>
        <v>6</v>
      </c>
    </row>
    <row r="50" spans="1:14" ht="15">
      <c r="A50" s="7" t="s">
        <v>256</v>
      </c>
      <c r="B50" s="7" t="s">
        <v>257</v>
      </c>
      <c r="C50" s="16">
        <f>VLOOKUP(B50,Table1data!$B:$O,3,FALSE)</f>
        <v>0</v>
      </c>
      <c r="D50" s="19">
        <f>VLOOKUP(B50,Table1data!$B:$O,4,FALSE)</f>
        <v>0</v>
      </c>
      <c r="E50" s="19">
        <f>VLOOKUP(B50,Table1data!$B:$O,5,FALSE)</f>
        <v>5</v>
      </c>
      <c r="F50" s="19">
        <f>VLOOKUP(B50,Table1data!$B:$O,6,FALSE)</f>
        <v>0</v>
      </c>
      <c r="G50" s="19">
        <f>VLOOKUP(B50,Table1data!$B:$O,7,FALSE)</f>
        <v>2</v>
      </c>
      <c r="H50" s="18">
        <f>VLOOKUP(B50,Table1data!$B:$O,8,FALSE)</f>
        <v>0</v>
      </c>
      <c r="I50" s="19">
        <f>VLOOKUP(B50,Table1data!$B:$O,9,FALSE)</f>
        <v>0</v>
      </c>
      <c r="J50" s="19">
        <f>VLOOKUP(B50,Table1data!$B:$O,10,FALSE)</f>
        <v>4</v>
      </c>
      <c r="K50" s="19">
        <f>VLOOKUP(B50,Table1data!$B:$O,11,FALSE)</f>
        <v>0</v>
      </c>
      <c r="L50" s="20">
        <f>VLOOKUP(B50,Table1data!$B:$O,12,FALSE)</f>
        <v>1</v>
      </c>
      <c r="M50" s="19">
        <f>VLOOKUP(B50,Table1data!$B:$O,13,FALSE)</f>
        <v>5</v>
      </c>
      <c r="N50" s="19">
        <f>VLOOKUP(B50,Table1data!$B:$O,14,FALSE)</f>
        <v>7</v>
      </c>
    </row>
    <row r="51" spans="1:14" ht="15">
      <c r="A51" s="7" t="s">
        <v>258</v>
      </c>
      <c r="B51" s="7" t="s">
        <v>259</v>
      </c>
      <c r="C51" s="16">
        <f>VLOOKUP(B51,Table1data!$B:$O,3,FALSE)</f>
        <v>0</v>
      </c>
      <c r="D51" s="19">
        <f>VLOOKUP(B51,Table1data!$B:$O,4,FALSE)</f>
        <v>0</v>
      </c>
      <c r="E51" s="19">
        <f>VLOOKUP(B51,Table1data!$B:$O,5,FALSE)</f>
        <v>8</v>
      </c>
      <c r="F51" s="19">
        <f>VLOOKUP(B51,Table1data!$B:$O,6,FALSE)</f>
        <v>0</v>
      </c>
      <c r="G51" s="19">
        <f>VLOOKUP(B51,Table1data!$B:$O,7,FALSE)</f>
        <v>1</v>
      </c>
      <c r="H51" s="18">
        <f>VLOOKUP(B51,Table1data!$B:$O,8,FALSE)</f>
        <v>0</v>
      </c>
      <c r="I51" s="19">
        <f>VLOOKUP(B51,Table1data!$B:$O,9,FALSE)</f>
        <v>0</v>
      </c>
      <c r="J51" s="19">
        <f>VLOOKUP(B51,Table1data!$B:$O,10,FALSE)</f>
        <v>3</v>
      </c>
      <c r="K51" s="19">
        <f>VLOOKUP(B51,Table1data!$B:$O,11,FALSE)</f>
        <v>0</v>
      </c>
      <c r="L51" s="20">
        <f>VLOOKUP(B51,Table1data!$B:$O,12,FALSE)</f>
        <v>1</v>
      </c>
      <c r="M51" s="19">
        <f>VLOOKUP(B51,Table1data!$B:$O,13,FALSE)</f>
        <v>8</v>
      </c>
      <c r="N51" s="19">
        <f>VLOOKUP(B51,Table1data!$B:$O,14,FALSE)</f>
        <v>9</v>
      </c>
    </row>
    <row r="52" spans="1:14" ht="15">
      <c r="A52" s="7" t="s">
        <v>260</v>
      </c>
      <c r="B52" s="7" t="s">
        <v>261</v>
      </c>
      <c r="C52" s="16">
        <f>VLOOKUP(B52,Table1data!$B:$O,3,FALSE)</f>
        <v>1</v>
      </c>
      <c r="D52" s="19">
        <f>VLOOKUP(B52,Table1data!$B:$O,4,FALSE)</f>
        <v>0</v>
      </c>
      <c r="E52" s="19">
        <f>VLOOKUP(B52,Table1data!$B:$O,5,FALSE)</f>
        <v>12</v>
      </c>
      <c r="F52" s="19">
        <f>VLOOKUP(B52,Table1data!$B:$O,6,FALSE)</f>
        <v>0</v>
      </c>
      <c r="G52" s="19">
        <f>VLOOKUP(B52,Table1data!$B:$O,7,FALSE)</f>
        <v>1</v>
      </c>
      <c r="H52" s="18">
        <f>VLOOKUP(B52,Table1data!$B:$O,8,FALSE)</f>
        <v>1</v>
      </c>
      <c r="I52" s="19">
        <f>VLOOKUP(B52,Table1data!$B:$O,9,FALSE)</f>
        <v>0</v>
      </c>
      <c r="J52" s="19">
        <f>VLOOKUP(B52,Table1data!$B:$O,10,FALSE)</f>
        <v>12</v>
      </c>
      <c r="K52" s="19">
        <f>VLOOKUP(B52,Table1data!$B:$O,11,FALSE)</f>
        <v>0</v>
      </c>
      <c r="L52" s="20">
        <f>VLOOKUP(B52,Table1data!$B:$O,12,FALSE)</f>
        <v>1</v>
      </c>
      <c r="M52" s="19">
        <f>VLOOKUP(B52,Table1data!$B:$O,13,FALSE)</f>
        <v>13</v>
      </c>
      <c r="N52" s="19">
        <f>VLOOKUP(B52,Table1data!$B:$O,14,FALSE)</f>
        <v>14</v>
      </c>
    </row>
    <row r="53" spans="1:14" ht="15">
      <c r="A53" s="7" t="s">
        <v>262</v>
      </c>
      <c r="B53" s="7" t="s">
        <v>263</v>
      </c>
      <c r="C53" s="16">
        <f>VLOOKUP(B53,Table1data!$B:$O,3,FALSE)</f>
        <v>1</v>
      </c>
      <c r="D53" s="19">
        <f>VLOOKUP(B53,Table1data!$B:$O,4,FALSE)</f>
        <v>0</v>
      </c>
      <c r="E53" s="19">
        <f>VLOOKUP(B53,Table1data!$B:$O,5,FALSE)</f>
        <v>2</v>
      </c>
      <c r="F53" s="19">
        <f>VLOOKUP(B53,Table1data!$B:$O,6,FALSE)</f>
        <v>0</v>
      </c>
      <c r="G53" s="19">
        <f>VLOOKUP(B53,Table1data!$B:$O,7,FALSE)</f>
        <v>3</v>
      </c>
      <c r="H53" s="18">
        <f>VLOOKUP(B53,Table1data!$B:$O,8,FALSE)</f>
        <v>1</v>
      </c>
      <c r="I53" s="19">
        <f>VLOOKUP(B53,Table1data!$B:$O,9,FALSE)</f>
        <v>0</v>
      </c>
      <c r="J53" s="19">
        <f>VLOOKUP(B53,Table1data!$B:$O,10,FALSE)</f>
        <v>1</v>
      </c>
      <c r="K53" s="19">
        <f>VLOOKUP(B53,Table1data!$B:$O,11,FALSE)</f>
        <v>0</v>
      </c>
      <c r="L53" s="20">
        <f>VLOOKUP(B53,Table1data!$B:$O,12,FALSE)</f>
        <v>2</v>
      </c>
      <c r="M53" s="19">
        <f>VLOOKUP(B53,Table1data!$B:$O,13,FALSE)</f>
        <v>3</v>
      </c>
      <c r="N53" s="19">
        <f>VLOOKUP(B53,Table1data!$B:$O,14,FALSE)</f>
        <v>6</v>
      </c>
    </row>
    <row r="54" spans="1:14" ht="15">
      <c r="A54" s="7" t="s">
        <v>264</v>
      </c>
      <c r="B54" s="7" t="s">
        <v>265</v>
      </c>
      <c r="C54" s="16">
        <f>VLOOKUP(B54,Table1data!$B:$O,3,FALSE)</f>
        <v>5</v>
      </c>
      <c r="D54" s="19">
        <f>VLOOKUP(B54,Table1data!$B:$O,4,FALSE)</f>
        <v>0</v>
      </c>
      <c r="E54" s="19">
        <f>VLOOKUP(B54,Table1data!$B:$O,5,FALSE)</f>
        <v>22</v>
      </c>
      <c r="F54" s="19">
        <f>VLOOKUP(B54,Table1data!$B:$O,6,FALSE)</f>
        <v>0</v>
      </c>
      <c r="G54" s="19">
        <f>VLOOKUP(B54,Table1data!$B:$O,7,FALSE)</f>
        <v>2</v>
      </c>
      <c r="H54" s="18">
        <f>VLOOKUP(B54,Table1data!$B:$O,8,FALSE)</f>
        <v>5</v>
      </c>
      <c r="I54" s="19">
        <f>VLOOKUP(B54,Table1data!$B:$O,9,FALSE)</f>
        <v>0</v>
      </c>
      <c r="J54" s="19">
        <f>VLOOKUP(B54,Table1data!$B:$O,10,FALSE)</f>
        <v>20</v>
      </c>
      <c r="K54" s="19">
        <f>VLOOKUP(B54,Table1data!$B:$O,11,FALSE)</f>
        <v>0</v>
      </c>
      <c r="L54" s="20">
        <f>VLOOKUP(B54,Table1data!$B:$O,12,FALSE)</f>
        <v>2</v>
      </c>
      <c r="M54" s="19">
        <f>VLOOKUP(B54,Table1data!$B:$O,13,FALSE)</f>
        <v>27</v>
      </c>
      <c r="N54" s="19">
        <f>VLOOKUP(B54,Table1data!$B:$O,14,FALSE)</f>
        <v>29</v>
      </c>
    </row>
    <row r="55" spans="1:14" ht="15">
      <c r="A55" s="7" t="s">
        <v>266</v>
      </c>
      <c r="B55" s="7" t="s">
        <v>267</v>
      </c>
      <c r="C55" s="16">
        <f>VLOOKUP(B55,Table1data!$B:$O,3,FALSE)</f>
        <v>2</v>
      </c>
      <c r="D55" s="19">
        <f>VLOOKUP(B55,Table1data!$B:$O,4,FALSE)</f>
        <v>1</v>
      </c>
      <c r="E55" s="19">
        <f>VLOOKUP(B55,Table1data!$B:$O,5,FALSE)</f>
        <v>13</v>
      </c>
      <c r="F55" s="19">
        <f>VLOOKUP(B55,Table1data!$B:$O,6,FALSE)</f>
        <v>0</v>
      </c>
      <c r="G55" s="19">
        <f>VLOOKUP(B55,Table1data!$B:$O,7,FALSE)</f>
        <v>9</v>
      </c>
      <c r="H55" s="18">
        <f>VLOOKUP(B55,Table1data!$B:$O,8,FALSE)</f>
        <v>2</v>
      </c>
      <c r="I55" s="19">
        <f>VLOOKUP(B55,Table1data!$B:$O,9,FALSE)</f>
        <v>1</v>
      </c>
      <c r="J55" s="19">
        <f>VLOOKUP(B55,Table1data!$B:$O,10,FALSE)</f>
        <v>12</v>
      </c>
      <c r="K55" s="19">
        <f>VLOOKUP(B55,Table1data!$B:$O,11,FALSE)</f>
        <v>0</v>
      </c>
      <c r="L55" s="20">
        <f>VLOOKUP(B55,Table1data!$B:$O,12,FALSE)</f>
        <v>5</v>
      </c>
      <c r="M55" s="19">
        <f>VLOOKUP(B55,Table1data!$B:$O,13,FALSE)</f>
        <v>16</v>
      </c>
      <c r="N55" s="19">
        <f>VLOOKUP(B55,Table1data!$B:$O,14,FALSE)</f>
        <v>25</v>
      </c>
    </row>
    <row r="56" spans="1:14" ht="15">
      <c r="A56" s="7" t="s">
        <v>268</v>
      </c>
      <c r="B56" s="7" t="s">
        <v>269</v>
      </c>
      <c r="C56" s="16">
        <f>VLOOKUP(B56,Table1data!$B:$O,3,FALSE)</f>
        <v>20</v>
      </c>
      <c r="D56" s="19">
        <f>VLOOKUP(B56,Table1data!$B:$O,4,FALSE)</f>
        <v>0</v>
      </c>
      <c r="E56" s="19">
        <f>VLOOKUP(B56,Table1data!$B:$O,5,FALSE)</f>
        <v>0</v>
      </c>
      <c r="F56" s="19">
        <f>VLOOKUP(B56,Table1data!$B:$O,6,FALSE)</f>
        <v>0</v>
      </c>
      <c r="G56" s="19">
        <f>VLOOKUP(B56,Table1data!$B:$O,7,FALSE)</f>
        <v>4</v>
      </c>
      <c r="H56" s="18">
        <f>VLOOKUP(B56,Table1data!$B:$O,8,FALSE)</f>
        <v>20</v>
      </c>
      <c r="I56" s="19">
        <f>VLOOKUP(B56,Table1data!$B:$O,9,FALSE)</f>
        <v>0</v>
      </c>
      <c r="J56" s="19">
        <f>VLOOKUP(B56,Table1data!$B:$O,10,FALSE)</f>
        <v>0</v>
      </c>
      <c r="K56" s="19">
        <f>VLOOKUP(B56,Table1data!$B:$O,11,FALSE)</f>
        <v>0</v>
      </c>
      <c r="L56" s="20">
        <f>VLOOKUP(B56,Table1data!$B:$O,12,FALSE)</f>
        <v>4</v>
      </c>
      <c r="M56" s="19">
        <f>VLOOKUP(B56,Table1data!$B:$O,13,FALSE)</f>
        <v>20</v>
      </c>
      <c r="N56" s="19">
        <f>VLOOKUP(B56,Table1data!$B:$O,14,FALSE)</f>
        <v>24</v>
      </c>
    </row>
    <row r="57" spans="1:14" ht="15">
      <c r="A57" s="7" t="s">
        <v>270</v>
      </c>
      <c r="B57" s="7" t="s">
        <v>271</v>
      </c>
      <c r="C57" s="16">
        <f>VLOOKUP(B57,Table1data!$B:$O,3,FALSE)</f>
        <v>67</v>
      </c>
      <c r="D57" s="19">
        <f>VLOOKUP(B57,Table1data!$B:$O,4,FALSE)</f>
        <v>8</v>
      </c>
      <c r="E57" s="19">
        <f>VLOOKUP(B57,Table1data!$B:$O,5,FALSE)</f>
        <v>0</v>
      </c>
      <c r="F57" s="19">
        <f>VLOOKUP(B57,Table1data!$B:$O,6,FALSE)</f>
        <v>17</v>
      </c>
      <c r="G57" s="19">
        <f>VLOOKUP(B57,Table1data!$B:$O,7,FALSE)</f>
        <v>36</v>
      </c>
      <c r="H57" s="18">
        <f>VLOOKUP(B57,Table1data!$B:$O,8,FALSE)</f>
        <v>67</v>
      </c>
      <c r="I57" s="19">
        <f>VLOOKUP(B57,Table1data!$B:$O,9,FALSE)</f>
        <v>8</v>
      </c>
      <c r="J57" s="19">
        <f>VLOOKUP(B57,Table1data!$B:$O,10,FALSE)</f>
        <v>0</v>
      </c>
      <c r="K57" s="19">
        <f>VLOOKUP(B57,Table1data!$B:$O,11,FALSE)</f>
        <v>17</v>
      </c>
      <c r="L57" s="20">
        <f>VLOOKUP(B57,Table1data!$B:$O,12,FALSE)</f>
        <v>36</v>
      </c>
      <c r="M57" s="19">
        <f>VLOOKUP(B57,Table1data!$B:$O,13,FALSE)</f>
        <v>92</v>
      </c>
      <c r="N57" s="19">
        <f>VLOOKUP(B57,Table1data!$B:$O,14,FALSE)</f>
        <v>128</v>
      </c>
    </row>
    <row r="58" spans="1:14" ht="15">
      <c r="A58" s="7" t="s">
        <v>272</v>
      </c>
      <c r="B58" s="7" t="s">
        <v>273</v>
      </c>
      <c r="C58" s="16">
        <f>VLOOKUP(B58,Table1data!$B:$O,3,FALSE)</f>
        <v>11</v>
      </c>
      <c r="D58" s="19">
        <f>VLOOKUP(B58,Table1data!$B:$O,4,FALSE)</f>
        <v>10</v>
      </c>
      <c r="E58" s="19">
        <f>VLOOKUP(B58,Table1data!$B:$O,5,FALSE)</f>
        <v>44</v>
      </c>
      <c r="F58" s="19">
        <f>VLOOKUP(B58,Table1data!$B:$O,6,FALSE)</f>
        <v>2</v>
      </c>
      <c r="G58" s="19">
        <f>VLOOKUP(B58,Table1data!$B:$O,7,FALSE)</f>
        <v>14</v>
      </c>
      <c r="H58" s="18">
        <f>VLOOKUP(B58,Table1data!$B:$O,8,FALSE)</f>
        <v>9</v>
      </c>
      <c r="I58" s="19">
        <f>VLOOKUP(B58,Table1data!$B:$O,9,FALSE)</f>
        <v>5</v>
      </c>
      <c r="J58" s="19">
        <f>VLOOKUP(B58,Table1data!$B:$O,10,FALSE)</f>
        <v>36</v>
      </c>
      <c r="K58" s="19">
        <f>VLOOKUP(B58,Table1data!$B:$O,11,FALSE)</f>
        <v>1</v>
      </c>
      <c r="L58" s="20">
        <f>VLOOKUP(B58,Table1data!$B:$O,12,FALSE)</f>
        <v>6</v>
      </c>
      <c r="M58" s="19">
        <f>VLOOKUP(B58,Table1data!$B:$O,13,FALSE)</f>
        <v>67</v>
      </c>
      <c r="N58" s="19">
        <f>VLOOKUP(B58,Table1data!$B:$O,14,FALSE)</f>
        <v>81</v>
      </c>
    </row>
    <row r="59" spans="1:14" ht="15">
      <c r="A59" s="7" t="s">
        <v>274</v>
      </c>
      <c r="B59" s="7" t="s">
        <v>275</v>
      </c>
      <c r="C59" s="16">
        <f>VLOOKUP(B59,Table1data!$B:$O,3,FALSE)</f>
        <v>5</v>
      </c>
      <c r="D59" s="19">
        <f>VLOOKUP(B59,Table1data!$B:$O,4,FALSE)</f>
        <v>29</v>
      </c>
      <c r="E59" s="19">
        <f>VLOOKUP(B59,Table1data!$B:$O,5,FALSE)</f>
        <v>53</v>
      </c>
      <c r="F59" s="19">
        <f>VLOOKUP(B59,Table1data!$B:$O,6,FALSE)</f>
        <v>19</v>
      </c>
      <c r="G59" s="19">
        <f>VLOOKUP(B59,Table1data!$B:$O,7,FALSE)</f>
        <v>13</v>
      </c>
      <c r="H59" s="18">
        <f>VLOOKUP(B59,Table1data!$B:$O,8,FALSE)</f>
        <v>5</v>
      </c>
      <c r="I59" s="19">
        <f>VLOOKUP(B59,Table1data!$B:$O,9,FALSE)</f>
        <v>21</v>
      </c>
      <c r="J59" s="19">
        <f>VLOOKUP(B59,Table1data!$B:$O,10,FALSE)</f>
        <v>38</v>
      </c>
      <c r="K59" s="19">
        <f>VLOOKUP(B59,Table1data!$B:$O,11,FALSE)</f>
        <v>12</v>
      </c>
      <c r="L59" s="20">
        <f>VLOOKUP(B59,Table1data!$B:$O,12,FALSE)</f>
        <v>6</v>
      </c>
      <c r="M59" s="19">
        <f>VLOOKUP(B59,Table1data!$B:$O,13,FALSE)</f>
        <v>106</v>
      </c>
      <c r="N59" s="19">
        <f>VLOOKUP(B59,Table1data!$B:$O,14,FALSE)</f>
        <v>119</v>
      </c>
    </row>
    <row r="60" spans="1:14" ht="15">
      <c r="A60" s="7" t="s">
        <v>276</v>
      </c>
      <c r="B60" s="7" t="s">
        <v>277</v>
      </c>
      <c r="C60" s="84">
        <f>VLOOKUP(B60,Table1data!$B:$O,3,FALSE)</f>
        <v>0</v>
      </c>
      <c r="D60" s="85">
        <f>VLOOKUP(B60,Table1data!$B:$O,4,FALSE)</f>
        <v>0</v>
      </c>
      <c r="E60" s="85">
        <f>VLOOKUP(B60,Table1data!$B:$O,5,FALSE)</f>
        <v>1</v>
      </c>
      <c r="F60" s="85">
        <f>VLOOKUP(B60,Table1data!$B:$O,6,FALSE)</f>
        <v>0</v>
      </c>
      <c r="G60" s="85">
        <f>VLOOKUP(B60,Table1data!$B:$O,7,FALSE)</f>
        <v>1</v>
      </c>
      <c r="H60" s="87">
        <f>VLOOKUP(B60,Table1data!$B:$O,8,FALSE)</f>
        <v>0</v>
      </c>
      <c r="I60" s="85">
        <f>VLOOKUP(B60,Table1data!$B:$O,9,FALSE)</f>
        <v>0</v>
      </c>
      <c r="J60" s="85">
        <f>VLOOKUP(B60,Table1data!$B:$O,10,FALSE)</f>
        <v>1</v>
      </c>
      <c r="K60" s="85">
        <f>VLOOKUP(B60,Table1data!$B:$O,11,FALSE)</f>
        <v>0</v>
      </c>
      <c r="L60" s="88">
        <f>VLOOKUP(B60,Table1data!$B:$O,12,FALSE)</f>
        <v>0</v>
      </c>
      <c r="M60" s="85">
        <f>VLOOKUP(B60,Table1data!$B:$O,13,FALSE)</f>
        <v>1</v>
      </c>
      <c r="N60" s="85">
        <f>VLOOKUP(B60,Table1data!$B:$O,14,FALSE)</f>
        <v>2</v>
      </c>
    </row>
    <row r="61" spans="1:14" ht="15">
      <c r="A61" s="8"/>
      <c r="B61" s="8"/>
      <c r="C61" s="22">
        <f>SUM(C45:C60)</f>
        <v>914</v>
      </c>
      <c r="D61" s="22">
        <f aca="true" t="shared" si="3" ref="D61:N61">SUM(D45:D60)</f>
        <v>60</v>
      </c>
      <c r="E61" s="22">
        <f t="shared" si="3"/>
        <v>1366</v>
      </c>
      <c r="F61" s="22">
        <f t="shared" si="3"/>
        <v>88</v>
      </c>
      <c r="G61" s="22">
        <f t="shared" si="3"/>
        <v>270</v>
      </c>
      <c r="H61" s="21">
        <f t="shared" si="3"/>
        <v>444</v>
      </c>
      <c r="I61" s="22">
        <f t="shared" si="3"/>
        <v>38</v>
      </c>
      <c r="J61" s="22">
        <f t="shared" si="3"/>
        <v>510</v>
      </c>
      <c r="K61" s="22">
        <f t="shared" si="3"/>
        <v>43</v>
      </c>
      <c r="L61" s="23">
        <f t="shared" si="3"/>
        <v>128</v>
      </c>
      <c r="M61" s="22">
        <f t="shared" si="3"/>
        <v>2428</v>
      </c>
      <c r="N61" s="22">
        <f t="shared" si="3"/>
        <v>2698</v>
      </c>
    </row>
    <row r="62" spans="1:14" ht="15">
      <c r="A62" s="8"/>
      <c r="B62" s="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9" t="s">
        <v>278</v>
      </c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7" t="s">
        <v>279</v>
      </c>
      <c r="B64" s="7" t="s">
        <v>280</v>
      </c>
      <c r="C64" s="16">
        <f>VLOOKUP(B64,Table1data!$B:$O,3,FALSE)</f>
        <v>276</v>
      </c>
      <c r="D64" s="19">
        <f>VLOOKUP(B64,Table1data!$B:$O,4,FALSE)</f>
        <v>5</v>
      </c>
      <c r="E64" s="19">
        <f>VLOOKUP(B64,Table1data!$B:$O,5,FALSE)</f>
        <v>0</v>
      </c>
      <c r="F64" s="19">
        <f>VLOOKUP(B64,Table1data!$B:$O,6,FALSE)</f>
        <v>5</v>
      </c>
      <c r="G64" s="19">
        <f>VLOOKUP(B64,Table1data!$B:$O,7,FALSE)</f>
        <v>5</v>
      </c>
      <c r="H64" s="18">
        <f>VLOOKUP(B64,Table1data!$B:$O,8,FALSE)</f>
        <v>276</v>
      </c>
      <c r="I64" s="19">
        <f>VLOOKUP(B64,Table1data!$B:$O,9,FALSE)</f>
        <v>5</v>
      </c>
      <c r="J64" s="19">
        <f>VLOOKUP(B64,Table1data!$B:$O,10,FALSE)</f>
        <v>0</v>
      </c>
      <c r="K64" s="19">
        <f>VLOOKUP(B64,Table1data!$B:$O,11,FALSE)</f>
        <v>5</v>
      </c>
      <c r="L64" s="20">
        <f>VLOOKUP(B64,Table1data!$B:$O,12,FALSE)</f>
        <v>5</v>
      </c>
      <c r="M64" s="19">
        <f>VLOOKUP(B64,Table1data!$B:$O,13,FALSE)</f>
        <v>286</v>
      </c>
      <c r="N64" s="19">
        <f>VLOOKUP(B64,Table1data!$B:$O,14,FALSE)</f>
        <v>291</v>
      </c>
    </row>
    <row r="65" spans="1:14" ht="15">
      <c r="A65" s="7" t="s">
        <v>281</v>
      </c>
      <c r="B65" s="7" t="s">
        <v>282</v>
      </c>
      <c r="C65" s="16">
        <f>VLOOKUP(B65,Table1data!$B:$O,3,FALSE)</f>
        <v>0</v>
      </c>
      <c r="D65" s="19">
        <f>VLOOKUP(B65,Table1data!$B:$O,4,FALSE)</f>
        <v>2</v>
      </c>
      <c r="E65" s="19">
        <f>VLOOKUP(B65,Table1data!$B:$O,5,FALSE)</f>
        <v>0</v>
      </c>
      <c r="F65" s="19">
        <f>VLOOKUP(B65,Table1data!$B:$O,6,FALSE)</f>
        <v>2</v>
      </c>
      <c r="G65" s="19">
        <f>VLOOKUP(B65,Table1data!$B:$O,7,FALSE)</f>
        <v>3</v>
      </c>
      <c r="H65" s="18">
        <f>VLOOKUP(B65,Table1data!$B:$O,8,FALSE)</f>
        <v>0</v>
      </c>
      <c r="I65" s="19">
        <f>VLOOKUP(B65,Table1data!$B:$O,9,FALSE)</f>
        <v>2</v>
      </c>
      <c r="J65" s="19">
        <f>VLOOKUP(B65,Table1data!$B:$O,10,FALSE)</f>
        <v>0</v>
      </c>
      <c r="K65" s="19">
        <f>VLOOKUP(B65,Table1data!$B:$O,11,FALSE)</f>
        <v>2</v>
      </c>
      <c r="L65" s="20">
        <f>VLOOKUP(B65,Table1data!$B:$O,12,FALSE)</f>
        <v>3</v>
      </c>
      <c r="M65" s="19">
        <f>VLOOKUP(B65,Table1data!$B:$O,13,FALSE)</f>
        <v>4</v>
      </c>
      <c r="N65" s="19">
        <f>VLOOKUP(B65,Table1data!$B:$O,14,FALSE)</f>
        <v>7</v>
      </c>
    </row>
    <row r="66" spans="1:14" ht="15">
      <c r="A66" s="7" t="s">
        <v>283</v>
      </c>
      <c r="B66" s="7" t="s">
        <v>284</v>
      </c>
      <c r="C66" s="16">
        <f>VLOOKUP(B66,Table1data!$B:$O,3,FALSE)</f>
        <v>153</v>
      </c>
      <c r="D66" s="19">
        <f>VLOOKUP(B66,Table1data!$B:$O,4,FALSE)</f>
        <v>7</v>
      </c>
      <c r="E66" s="19">
        <f>VLOOKUP(B66,Table1data!$B:$O,5,FALSE)</f>
        <v>0</v>
      </c>
      <c r="F66" s="19">
        <f>VLOOKUP(B66,Table1data!$B:$O,6,FALSE)</f>
        <v>9</v>
      </c>
      <c r="G66" s="19">
        <f>VLOOKUP(B66,Table1data!$B:$O,7,FALSE)</f>
        <v>9</v>
      </c>
      <c r="H66" s="18">
        <f>VLOOKUP(B66,Table1data!$B:$O,8,FALSE)</f>
        <v>136</v>
      </c>
      <c r="I66" s="19">
        <f>VLOOKUP(B66,Table1data!$B:$O,9,FALSE)</f>
        <v>6</v>
      </c>
      <c r="J66" s="19">
        <f>VLOOKUP(B66,Table1data!$B:$O,10,FALSE)</f>
        <v>0</v>
      </c>
      <c r="K66" s="19">
        <f>VLOOKUP(B66,Table1data!$B:$O,11,FALSE)</f>
        <v>9</v>
      </c>
      <c r="L66" s="20">
        <f>VLOOKUP(B66,Table1data!$B:$O,12,FALSE)</f>
        <v>7</v>
      </c>
      <c r="M66" s="19">
        <f>VLOOKUP(B66,Table1data!$B:$O,13,FALSE)</f>
        <v>169</v>
      </c>
      <c r="N66" s="19">
        <f>VLOOKUP(B66,Table1data!$B:$O,14,FALSE)</f>
        <v>178</v>
      </c>
    </row>
    <row r="67" spans="1:14" ht="15">
      <c r="A67" s="7" t="s">
        <v>285</v>
      </c>
      <c r="B67" s="7" t="s">
        <v>286</v>
      </c>
      <c r="C67" s="16">
        <f>VLOOKUP(B67,Table1data!$B:$O,3,FALSE)</f>
        <v>45</v>
      </c>
      <c r="D67" s="19">
        <f>VLOOKUP(B67,Table1data!$B:$O,4,FALSE)</f>
        <v>3</v>
      </c>
      <c r="E67" s="19">
        <f>VLOOKUP(B67,Table1data!$B:$O,5,FALSE)</f>
        <v>0</v>
      </c>
      <c r="F67" s="19">
        <f>VLOOKUP(B67,Table1data!$B:$O,6,FALSE)</f>
        <v>11</v>
      </c>
      <c r="G67" s="19">
        <f>VLOOKUP(B67,Table1data!$B:$O,7,FALSE)</f>
        <v>5</v>
      </c>
      <c r="H67" s="18">
        <f>VLOOKUP(B67,Table1data!$B:$O,8,FALSE)</f>
        <v>41</v>
      </c>
      <c r="I67" s="19">
        <f>VLOOKUP(B67,Table1data!$B:$O,9,FALSE)</f>
        <v>3</v>
      </c>
      <c r="J67" s="19">
        <f>VLOOKUP(B67,Table1data!$B:$O,10,FALSE)</f>
        <v>0</v>
      </c>
      <c r="K67" s="19">
        <f>VLOOKUP(B67,Table1data!$B:$O,11,FALSE)</f>
        <v>7</v>
      </c>
      <c r="L67" s="20">
        <f>VLOOKUP(B67,Table1data!$B:$O,12,FALSE)</f>
        <v>3</v>
      </c>
      <c r="M67" s="19">
        <f>VLOOKUP(B67,Table1data!$B:$O,13,FALSE)</f>
        <v>59</v>
      </c>
      <c r="N67" s="19">
        <f>VLOOKUP(B67,Table1data!$B:$O,14,FALSE)</f>
        <v>64</v>
      </c>
    </row>
    <row r="68" spans="1:14" ht="15">
      <c r="A68" s="7" t="s">
        <v>287</v>
      </c>
      <c r="B68" s="7" t="s">
        <v>288</v>
      </c>
      <c r="C68" s="16">
        <f>VLOOKUP(B68,Table1data!$B:$O,3,FALSE)</f>
        <v>94</v>
      </c>
      <c r="D68" s="19">
        <f>VLOOKUP(B68,Table1data!$B:$O,4,FALSE)</f>
        <v>5</v>
      </c>
      <c r="E68" s="19">
        <f>VLOOKUP(B68,Table1data!$B:$O,5,FALSE)</f>
        <v>0</v>
      </c>
      <c r="F68" s="19">
        <f>VLOOKUP(B68,Table1data!$B:$O,6,FALSE)</f>
        <v>4</v>
      </c>
      <c r="G68" s="19">
        <f>VLOOKUP(B68,Table1data!$B:$O,7,FALSE)</f>
        <v>3</v>
      </c>
      <c r="H68" s="18">
        <f>VLOOKUP(B68,Table1data!$B:$O,8,FALSE)</f>
        <v>88</v>
      </c>
      <c r="I68" s="19">
        <f>VLOOKUP(B68,Table1data!$B:$O,9,FALSE)</f>
        <v>2</v>
      </c>
      <c r="J68" s="19">
        <f>VLOOKUP(B68,Table1data!$B:$O,10,FALSE)</f>
        <v>0</v>
      </c>
      <c r="K68" s="19">
        <f>VLOOKUP(B68,Table1data!$B:$O,11,FALSE)</f>
        <v>2</v>
      </c>
      <c r="L68" s="20">
        <f>VLOOKUP(B68,Table1data!$B:$O,12,FALSE)</f>
        <v>0</v>
      </c>
      <c r="M68" s="19">
        <f>VLOOKUP(B68,Table1data!$B:$O,13,FALSE)</f>
        <v>103</v>
      </c>
      <c r="N68" s="19">
        <f>VLOOKUP(B68,Table1data!$B:$O,14,FALSE)</f>
        <v>106</v>
      </c>
    </row>
    <row r="69" spans="1:14" ht="15">
      <c r="A69" s="7" t="s">
        <v>289</v>
      </c>
      <c r="B69" s="7" t="s">
        <v>290</v>
      </c>
      <c r="C69" s="84">
        <f>VLOOKUP(B69,Table1data!$B:$O,3,FALSE)</f>
        <v>152</v>
      </c>
      <c r="D69" s="85">
        <f>VLOOKUP(B69,Table1data!$B:$O,4,FALSE)</f>
        <v>27</v>
      </c>
      <c r="E69" s="85">
        <f>VLOOKUP(B69,Table1data!$B:$O,5,FALSE)</f>
        <v>7</v>
      </c>
      <c r="F69" s="85">
        <f>VLOOKUP(B69,Table1data!$B:$O,6,FALSE)</f>
        <v>46</v>
      </c>
      <c r="G69" s="85">
        <f>VLOOKUP(B69,Table1data!$B:$O,7,FALSE)</f>
        <v>63</v>
      </c>
      <c r="H69" s="87">
        <f>VLOOKUP(B69,Table1data!$B:$O,8,FALSE)</f>
        <v>152</v>
      </c>
      <c r="I69" s="85">
        <f>VLOOKUP(B69,Table1data!$B:$O,9,FALSE)</f>
        <v>27</v>
      </c>
      <c r="J69" s="85">
        <f>VLOOKUP(B69,Table1data!$B:$O,10,FALSE)</f>
        <v>7</v>
      </c>
      <c r="K69" s="85">
        <f>VLOOKUP(B69,Table1data!$B:$O,11,FALSE)</f>
        <v>46</v>
      </c>
      <c r="L69" s="88">
        <f>VLOOKUP(B69,Table1data!$B:$O,12,FALSE)</f>
        <v>63</v>
      </c>
      <c r="M69" s="85">
        <f>VLOOKUP(B69,Table1data!$B:$O,13,FALSE)</f>
        <v>232</v>
      </c>
      <c r="N69" s="85">
        <f>VLOOKUP(B69,Table1data!$B:$O,14,FALSE)</f>
        <v>295</v>
      </c>
    </row>
    <row r="70" spans="1:14" ht="15">
      <c r="A70" s="8"/>
      <c r="B70" s="8"/>
      <c r="C70" s="22">
        <f>SUM(C64:C69)</f>
        <v>720</v>
      </c>
      <c r="D70" s="22">
        <f aca="true" t="shared" si="4" ref="D70:N70">SUM(D64:D69)</f>
        <v>49</v>
      </c>
      <c r="E70" s="22">
        <f t="shared" si="4"/>
        <v>7</v>
      </c>
      <c r="F70" s="22">
        <f t="shared" si="4"/>
        <v>77</v>
      </c>
      <c r="G70" s="22">
        <f t="shared" si="4"/>
        <v>88</v>
      </c>
      <c r="H70" s="21">
        <f t="shared" si="4"/>
        <v>693</v>
      </c>
      <c r="I70" s="22">
        <f t="shared" si="4"/>
        <v>45</v>
      </c>
      <c r="J70" s="22">
        <f t="shared" si="4"/>
        <v>7</v>
      </c>
      <c r="K70" s="22">
        <f t="shared" si="4"/>
        <v>71</v>
      </c>
      <c r="L70" s="23">
        <f t="shared" si="4"/>
        <v>81</v>
      </c>
      <c r="M70" s="22">
        <f t="shared" si="4"/>
        <v>853</v>
      </c>
      <c r="N70" s="22">
        <f t="shared" si="4"/>
        <v>941</v>
      </c>
    </row>
    <row r="71" spans="1:14" ht="15">
      <c r="A71" s="8"/>
      <c r="B71" s="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9">
        <v>1997</v>
      </c>
      <c r="B72" s="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5">
      <c r="A73" s="7" t="s">
        <v>291</v>
      </c>
      <c r="B73" s="7" t="s">
        <v>292</v>
      </c>
      <c r="C73" s="16">
        <f>VLOOKUP(B73,Table1data!$B:$O,3,FALSE)</f>
        <v>4</v>
      </c>
      <c r="D73" s="19">
        <f>VLOOKUP(B73,Table1data!$B:$O,4,FALSE)</f>
        <v>0</v>
      </c>
      <c r="E73" s="19">
        <f>VLOOKUP(B73,Table1data!$B:$O,5,FALSE)</f>
        <v>4</v>
      </c>
      <c r="F73" s="19">
        <f>VLOOKUP(B73,Table1data!$B:$O,6,FALSE)</f>
        <v>0</v>
      </c>
      <c r="G73" s="19">
        <f>VLOOKUP(B73,Table1data!$B:$O,7,FALSE)</f>
        <v>0</v>
      </c>
      <c r="H73" s="18">
        <f>VLOOKUP(B73,Table1data!$B:$O,8,FALSE)</f>
        <v>0</v>
      </c>
      <c r="I73" s="19">
        <f>VLOOKUP(B73,Table1data!$B:$O,9,FALSE)</f>
        <v>0</v>
      </c>
      <c r="J73" s="19">
        <f>VLOOKUP(B73,Table1data!$B:$O,10,FALSE)</f>
        <v>0</v>
      </c>
      <c r="K73" s="19">
        <f>VLOOKUP(B73,Table1data!$B:$O,11,FALSE)</f>
        <v>0</v>
      </c>
      <c r="L73" s="20">
        <f>VLOOKUP(B73,Table1data!$B:$O,12,FALSE)</f>
        <v>0</v>
      </c>
      <c r="M73" s="19">
        <f>VLOOKUP(B73,Table1data!$B:$O,13,FALSE)</f>
        <v>8</v>
      </c>
      <c r="N73" s="19">
        <f>VLOOKUP(B73,Table1data!$B:$O,14,FALSE)</f>
        <v>8</v>
      </c>
    </row>
    <row r="74" spans="1:14" ht="15">
      <c r="A74" s="7" t="s">
        <v>293</v>
      </c>
      <c r="B74" s="7" t="s">
        <v>294</v>
      </c>
      <c r="C74" s="16">
        <f>VLOOKUP(B74,Table1data!$B:$O,3,FALSE)</f>
        <v>0</v>
      </c>
      <c r="D74" s="19">
        <f>VLOOKUP(B74,Table1data!$B:$O,4,FALSE)</f>
        <v>0</v>
      </c>
      <c r="E74" s="19">
        <f>VLOOKUP(B74,Table1data!$B:$O,5,FALSE)</f>
        <v>3</v>
      </c>
      <c r="F74" s="19">
        <f>VLOOKUP(B74,Table1data!$B:$O,6,FALSE)</f>
        <v>0</v>
      </c>
      <c r="G74" s="19">
        <f>VLOOKUP(B74,Table1data!$B:$O,7,FALSE)</f>
        <v>0</v>
      </c>
      <c r="H74" s="18">
        <f>VLOOKUP(B74,Table1data!$B:$O,8,FALSE)</f>
        <v>0</v>
      </c>
      <c r="I74" s="19">
        <f>VLOOKUP(B74,Table1data!$B:$O,9,FALSE)</f>
        <v>0</v>
      </c>
      <c r="J74" s="19">
        <f>VLOOKUP(B74,Table1data!$B:$O,10,FALSE)</f>
        <v>0</v>
      </c>
      <c r="K74" s="19">
        <f>VLOOKUP(B74,Table1data!$B:$O,11,FALSE)</f>
        <v>0</v>
      </c>
      <c r="L74" s="20">
        <f>VLOOKUP(B74,Table1data!$B:$O,12,FALSE)</f>
        <v>0</v>
      </c>
      <c r="M74" s="19">
        <f>VLOOKUP(B74,Table1data!$B:$O,13,FALSE)</f>
        <v>3</v>
      </c>
      <c r="N74" s="19">
        <f>VLOOKUP(B74,Table1data!$B:$O,14,FALSE)</f>
        <v>3</v>
      </c>
    </row>
    <row r="75" spans="1:14" ht="15">
      <c r="A75" s="7" t="s">
        <v>295</v>
      </c>
      <c r="B75" s="7" t="s">
        <v>296</v>
      </c>
      <c r="C75" s="16">
        <f>VLOOKUP(B75,Table1data!$B:$O,3,FALSE)</f>
        <v>8</v>
      </c>
      <c r="D75" s="19">
        <f>VLOOKUP(B75,Table1data!$B:$O,4,FALSE)</f>
        <v>0</v>
      </c>
      <c r="E75" s="19">
        <f>VLOOKUP(B75,Table1data!$B:$O,5,FALSE)</f>
        <v>32</v>
      </c>
      <c r="F75" s="19">
        <f>VLOOKUP(B75,Table1data!$B:$O,6,FALSE)</f>
        <v>0</v>
      </c>
      <c r="G75" s="19">
        <f>VLOOKUP(B75,Table1data!$B:$O,7,FALSE)</f>
        <v>12</v>
      </c>
      <c r="H75" s="18">
        <f>VLOOKUP(B75,Table1data!$B:$O,8,FALSE)</f>
        <v>8</v>
      </c>
      <c r="I75" s="19">
        <f>VLOOKUP(B75,Table1data!$B:$O,9,FALSE)</f>
        <v>0</v>
      </c>
      <c r="J75" s="19">
        <f>VLOOKUP(B75,Table1data!$B:$O,10,FALSE)</f>
        <v>32</v>
      </c>
      <c r="K75" s="19">
        <f>VLOOKUP(B75,Table1data!$B:$O,11,FALSE)</f>
        <v>0</v>
      </c>
      <c r="L75" s="20">
        <f>VLOOKUP(B75,Table1data!$B:$O,12,FALSE)</f>
        <v>12</v>
      </c>
      <c r="M75" s="19">
        <f>VLOOKUP(B75,Table1data!$B:$O,13,FALSE)</f>
        <v>40</v>
      </c>
      <c r="N75" s="19">
        <f>VLOOKUP(B75,Table1data!$B:$O,14,FALSE)</f>
        <v>52</v>
      </c>
    </row>
    <row r="76" spans="1:14" ht="15">
      <c r="A76" s="7" t="s">
        <v>297</v>
      </c>
      <c r="B76" s="7" t="s">
        <v>298</v>
      </c>
      <c r="C76" s="16">
        <f>VLOOKUP(B76,Table1data!$B:$O,3,FALSE)</f>
        <v>13</v>
      </c>
      <c r="D76" s="19">
        <f>VLOOKUP(B76,Table1data!$B:$O,4,FALSE)</f>
        <v>0</v>
      </c>
      <c r="E76" s="19">
        <f>VLOOKUP(B76,Table1data!$B:$O,5,FALSE)</f>
        <v>24</v>
      </c>
      <c r="F76" s="19">
        <f>VLOOKUP(B76,Table1data!$B:$O,6,FALSE)</f>
        <v>1</v>
      </c>
      <c r="G76" s="19">
        <f>VLOOKUP(B76,Table1data!$B:$O,7,FALSE)</f>
        <v>10</v>
      </c>
      <c r="H76" s="18">
        <f>VLOOKUP(B76,Table1data!$B:$O,8,FALSE)</f>
        <v>13</v>
      </c>
      <c r="I76" s="19">
        <f>VLOOKUP(B76,Table1data!$B:$O,9,FALSE)</f>
        <v>0</v>
      </c>
      <c r="J76" s="19">
        <f>VLOOKUP(B76,Table1data!$B:$O,10,FALSE)</f>
        <v>22</v>
      </c>
      <c r="K76" s="19">
        <f>VLOOKUP(B76,Table1data!$B:$O,11,FALSE)</f>
        <v>1</v>
      </c>
      <c r="L76" s="20">
        <f>VLOOKUP(B76,Table1data!$B:$O,12,FALSE)</f>
        <v>10</v>
      </c>
      <c r="M76" s="19">
        <f>VLOOKUP(B76,Table1data!$B:$O,13,FALSE)</f>
        <v>38</v>
      </c>
      <c r="N76" s="19">
        <f>VLOOKUP(B76,Table1data!$B:$O,14,FALSE)</f>
        <v>48</v>
      </c>
    </row>
    <row r="77" spans="1:14" ht="15">
      <c r="A77" s="7" t="s">
        <v>299</v>
      </c>
      <c r="B77" s="7" t="s">
        <v>300</v>
      </c>
      <c r="C77" s="16">
        <f>VLOOKUP(B77,Table1data!$B:$O,3,FALSE)</f>
        <v>26</v>
      </c>
      <c r="D77" s="19">
        <f>VLOOKUP(B77,Table1data!$B:$O,4,FALSE)</f>
        <v>0</v>
      </c>
      <c r="E77" s="19">
        <f>VLOOKUP(B77,Table1data!$B:$O,5,FALSE)</f>
        <v>48</v>
      </c>
      <c r="F77" s="19">
        <f>VLOOKUP(B77,Table1data!$B:$O,6,FALSE)</f>
        <v>0</v>
      </c>
      <c r="G77" s="19">
        <f>VLOOKUP(B77,Table1data!$B:$O,7,FALSE)</f>
        <v>13</v>
      </c>
      <c r="H77" s="18">
        <f>VLOOKUP(B77,Table1data!$B:$O,8,FALSE)</f>
        <v>25</v>
      </c>
      <c r="I77" s="19">
        <f>VLOOKUP(B77,Table1data!$B:$O,9,FALSE)</f>
        <v>0</v>
      </c>
      <c r="J77" s="19">
        <f>VLOOKUP(B77,Table1data!$B:$O,10,FALSE)</f>
        <v>47</v>
      </c>
      <c r="K77" s="19">
        <f>VLOOKUP(B77,Table1data!$B:$O,11,FALSE)</f>
        <v>0</v>
      </c>
      <c r="L77" s="20">
        <f>VLOOKUP(B77,Table1data!$B:$O,12,FALSE)</f>
        <v>11</v>
      </c>
      <c r="M77" s="19">
        <f>VLOOKUP(B77,Table1data!$B:$O,13,FALSE)</f>
        <v>74</v>
      </c>
      <c r="N77" s="19">
        <f>VLOOKUP(B77,Table1data!$B:$O,14,FALSE)</f>
        <v>87</v>
      </c>
    </row>
    <row r="78" spans="1:14" ht="15">
      <c r="A78" s="7" t="s">
        <v>301</v>
      </c>
      <c r="B78" s="7" t="s">
        <v>302</v>
      </c>
      <c r="C78" s="16">
        <f>VLOOKUP(B78,Table1data!$B:$O,3,FALSE)</f>
        <v>50</v>
      </c>
      <c r="D78" s="19">
        <f>VLOOKUP(B78,Table1data!$B:$O,4,FALSE)</f>
        <v>1</v>
      </c>
      <c r="E78" s="19">
        <f>VLOOKUP(B78,Table1data!$B:$O,5,FALSE)</f>
        <v>54</v>
      </c>
      <c r="F78" s="19">
        <f>VLOOKUP(B78,Table1data!$B:$O,6,FALSE)</f>
        <v>1</v>
      </c>
      <c r="G78" s="19">
        <f>VLOOKUP(B78,Table1data!$B:$O,7,FALSE)</f>
        <v>20</v>
      </c>
      <c r="H78" s="18">
        <f>VLOOKUP(B78,Table1data!$B:$O,8,FALSE)</f>
        <v>36</v>
      </c>
      <c r="I78" s="19">
        <f>VLOOKUP(B78,Table1data!$B:$O,9,FALSE)</f>
        <v>1</v>
      </c>
      <c r="J78" s="19">
        <f>VLOOKUP(B78,Table1data!$B:$O,10,FALSE)</f>
        <v>29</v>
      </c>
      <c r="K78" s="19">
        <f>VLOOKUP(B78,Table1data!$B:$O,11,FALSE)</f>
        <v>0</v>
      </c>
      <c r="L78" s="20">
        <f>VLOOKUP(B78,Table1data!$B:$O,12,FALSE)</f>
        <v>6</v>
      </c>
      <c r="M78" s="19">
        <f>VLOOKUP(B78,Table1data!$B:$O,13,FALSE)</f>
        <v>106</v>
      </c>
      <c r="N78" s="19">
        <f>VLOOKUP(B78,Table1data!$B:$O,14,FALSE)</f>
        <v>126</v>
      </c>
    </row>
    <row r="79" spans="1:14" ht="15">
      <c r="A79" s="7" t="s">
        <v>303</v>
      </c>
      <c r="B79" s="7" t="s">
        <v>304</v>
      </c>
      <c r="C79" s="16">
        <f>VLOOKUP(B79,Table1data!$B:$O,3,FALSE)</f>
        <v>1</v>
      </c>
      <c r="D79" s="19">
        <f>VLOOKUP(B79,Table1data!$B:$O,4,FALSE)</f>
        <v>0</v>
      </c>
      <c r="E79" s="19">
        <f>VLOOKUP(B79,Table1data!$B:$O,5,FALSE)</f>
        <v>0</v>
      </c>
      <c r="F79" s="19">
        <f>VLOOKUP(B79,Table1data!$B:$O,6,FALSE)</f>
        <v>0</v>
      </c>
      <c r="G79" s="19">
        <f>VLOOKUP(B79,Table1data!$B:$O,7,FALSE)</f>
        <v>0</v>
      </c>
      <c r="H79" s="18">
        <f>VLOOKUP(B79,Table1data!$B:$O,8,FALSE)</f>
        <v>0</v>
      </c>
      <c r="I79" s="19">
        <f>VLOOKUP(B79,Table1data!$B:$O,9,FALSE)</f>
        <v>0</v>
      </c>
      <c r="J79" s="19">
        <f>VLOOKUP(B79,Table1data!$B:$O,10,FALSE)</f>
        <v>0</v>
      </c>
      <c r="K79" s="19">
        <f>VLOOKUP(B79,Table1data!$B:$O,11,FALSE)</f>
        <v>0</v>
      </c>
      <c r="L79" s="20">
        <f>VLOOKUP(B79,Table1data!$B:$O,12,FALSE)</f>
        <v>0</v>
      </c>
      <c r="M79" s="19">
        <f>VLOOKUP(B79,Table1data!$B:$O,13,FALSE)</f>
        <v>1</v>
      </c>
      <c r="N79" s="19">
        <f>VLOOKUP(B79,Table1data!$B:$O,14,FALSE)</f>
        <v>1</v>
      </c>
    </row>
    <row r="80" spans="1:14" ht="15">
      <c r="A80" s="7" t="s">
        <v>305</v>
      </c>
      <c r="B80" s="7" t="s">
        <v>306</v>
      </c>
      <c r="C80" s="84">
        <f>VLOOKUP(B80,Table1data!$B:$O,3,FALSE)</f>
        <v>58</v>
      </c>
      <c r="D80" s="85">
        <f>VLOOKUP(B80,Table1data!$B:$O,4,FALSE)</f>
        <v>3</v>
      </c>
      <c r="E80" s="85">
        <f>VLOOKUP(B80,Table1data!$B:$O,5,FALSE)</f>
        <v>6</v>
      </c>
      <c r="F80" s="85">
        <f>VLOOKUP(B80,Table1data!$B:$O,6,FALSE)</f>
        <v>2</v>
      </c>
      <c r="G80" s="85">
        <f>VLOOKUP(B80,Table1data!$B:$O,7,FALSE)</f>
        <v>2</v>
      </c>
      <c r="H80" s="87">
        <f>VLOOKUP(B80,Table1data!$B:$O,8,FALSE)</f>
        <v>49</v>
      </c>
      <c r="I80" s="85">
        <f>VLOOKUP(B80,Table1data!$B:$O,9,FALSE)</f>
        <v>2</v>
      </c>
      <c r="J80" s="85">
        <f>VLOOKUP(B80,Table1data!$B:$O,10,FALSE)</f>
        <v>4</v>
      </c>
      <c r="K80" s="85">
        <f>VLOOKUP(B80,Table1data!$B:$O,11,FALSE)</f>
        <v>2</v>
      </c>
      <c r="L80" s="88">
        <f>VLOOKUP(B80,Table1data!$B:$O,12,FALSE)</f>
        <v>2</v>
      </c>
      <c r="M80" s="85">
        <f>VLOOKUP(B80,Table1data!$B:$O,13,FALSE)</f>
        <v>69</v>
      </c>
      <c r="N80" s="85">
        <f>VLOOKUP(B80,Table1data!$B:$O,14,FALSE)</f>
        <v>71</v>
      </c>
    </row>
    <row r="81" spans="1:14" ht="15">
      <c r="A81" s="8"/>
      <c r="B81" s="8"/>
      <c r="C81" s="22">
        <f>SUM(C73:C80)</f>
        <v>160</v>
      </c>
      <c r="D81" s="22">
        <f aca="true" t="shared" si="5" ref="D81:N81">SUM(D73:D80)</f>
        <v>4</v>
      </c>
      <c r="E81" s="22">
        <f t="shared" si="5"/>
        <v>171</v>
      </c>
      <c r="F81" s="22">
        <f t="shared" si="5"/>
        <v>4</v>
      </c>
      <c r="G81" s="22">
        <f t="shared" si="5"/>
        <v>57</v>
      </c>
      <c r="H81" s="21">
        <f t="shared" si="5"/>
        <v>131</v>
      </c>
      <c r="I81" s="22">
        <f t="shared" si="5"/>
        <v>3</v>
      </c>
      <c r="J81" s="22">
        <f t="shared" si="5"/>
        <v>134</v>
      </c>
      <c r="K81" s="22">
        <f t="shared" si="5"/>
        <v>3</v>
      </c>
      <c r="L81" s="23">
        <f t="shared" si="5"/>
        <v>41</v>
      </c>
      <c r="M81" s="22">
        <f t="shared" si="5"/>
        <v>339</v>
      </c>
      <c r="N81" s="22">
        <f t="shared" si="5"/>
        <v>396</v>
      </c>
    </row>
    <row r="82" spans="1:14" ht="15">
      <c r="A82" s="8"/>
      <c r="B82" s="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">
      <c r="A83" s="9">
        <v>1998</v>
      </c>
      <c r="B83" s="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">
      <c r="A84" s="7" t="s">
        <v>307</v>
      </c>
      <c r="B84" s="7" t="s">
        <v>308</v>
      </c>
      <c r="C84" s="16">
        <f>VLOOKUP(B84,Table1data!$B:$O,3,FALSE)</f>
        <v>14</v>
      </c>
      <c r="D84" s="19">
        <f>VLOOKUP(B84,Table1data!$B:$O,4,FALSE)</f>
        <v>0</v>
      </c>
      <c r="E84" s="19">
        <f>VLOOKUP(B84,Table1data!$B:$O,5,FALSE)</f>
        <v>71</v>
      </c>
      <c r="F84" s="19">
        <f>VLOOKUP(B84,Table1data!$B:$O,6,FALSE)</f>
        <v>5</v>
      </c>
      <c r="G84" s="19">
        <f>VLOOKUP(B84,Table1data!$B:$O,7,FALSE)</f>
        <v>17</v>
      </c>
      <c r="H84" s="18">
        <f>VLOOKUP(B84,Table1data!$B:$O,8,FALSE)</f>
        <v>14</v>
      </c>
      <c r="I84" s="19">
        <f>VLOOKUP(B84,Table1data!$B:$O,9,FALSE)</f>
        <v>0</v>
      </c>
      <c r="J84" s="19">
        <f>VLOOKUP(B84,Table1data!$B:$O,10,FALSE)</f>
        <v>71</v>
      </c>
      <c r="K84" s="19">
        <f>VLOOKUP(B84,Table1data!$B:$O,11,FALSE)</f>
        <v>5</v>
      </c>
      <c r="L84" s="20">
        <f>VLOOKUP(B84,Table1data!$B:$O,12,FALSE)</f>
        <v>17</v>
      </c>
      <c r="M84" s="19">
        <f>VLOOKUP(B84,Table1data!$B:$O,13,FALSE)</f>
        <v>90</v>
      </c>
      <c r="N84" s="19">
        <f>VLOOKUP(B84,Table1data!$B:$O,14,FALSE)</f>
        <v>107</v>
      </c>
    </row>
    <row r="85" spans="1:14" ht="15">
      <c r="A85" s="7" t="s">
        <v>309</v>
      </c>
      <c r="B85" s="7" t="s">
        <v>310</v>
      </c>
      <c r="C85" s="16">
        <f>VLOOKUP(B85,Table1data!$B:$O,3,FALSE)</f>
        <v>129</v>
      </c>
      <c r="D85" s="19">
        <f>VLOOKUP(B85,Table1data!$B:$O,4,FALSE)</f>
        <v>0</v>
      </c>
      <c r="E85" s="19">
        <f>VLOOKUP(B85,Table1data!$B:$O,5,FALSE)</f>
        <v>65</v>
      </c>
      <c r="F85" s="19">
        <f>VLOOKUP(B85,Table1data!$B:$O,6,FALSE)</f>
        <v>1</v>
      </c>
      <c r="G85" s="19">
        <f>VLOOKUP(B85,Table1data!$B:$O,7,FALSE)</f>
        <v>14</v>
      </c>
      <c r="H85" s="18">
        <f>VLOOKUP(B85,Table1data!$B:$O,8,FALSE)</f>
        <v>99</v>
      </c>
      <c r="I85" s="19">
        <f>VLOOKUP(B85,Table1data!$B:$O,9,FALSE)</f>
        <v>0</v>
      </c>
      <c r="J85" s="19">
        <f>VLOOKUP(B85,Table1data!$B:$O,10,FALSE)</f>
        <v>42</v>
      </c>
      <c r="K85" s="19">
        <f>VLOOKUP(B85,Table1data!$B:$O,11,FALSE)</f>
        <v>1</v>
      </c>
      <c r="L85" s="20">
        <f>VLOOKUP(B85,Table1data!$B:$O,12,FALSE)</f>
        <v>11</v>
      </c>
      <c r="M85" s="19">
        <f>VLOOKUP(B85,Table1data!$B:$O,13,FALSE)</f>
        <v>195</v>
      </c>
      <c r="N85" s="19">
        <f>VLOOKUP(B85,Table1data!$B:$O,14,FALSE)</f>
        <v>209</v>
      </c>
    </row>
    <row r="86" spans="1:14" ht="15">
      <c r="A86" s="7" t="s">
        <v>311</v>
      </c>
      <c r="B86" s="7" t="s">
        <v>312</v>
      </c>
      <c r="C86" s="16">
        <f>VLOOKUP(B86,Table1data!$B:$O,3,FALSE)</f>
        <v>0</v>
      </c>
      <c r="D86" s="19">
        <f>VLOOKUP(B86,Table1data!$B:$O,4,FALSE)</f>
        <v>0</v>
      </c>
      <c r="E86" s="19">
        <f>VLOOKUP(B86,Table1data!$B:$O,5,FALSE)</f>
        <v>0</v>
      </c>
      <c r="F86" s="19">
        <f>VLOOKUP(B86,Table1data!$B:$O,6,FALSE)</f>
        <v>1</v>
      </c>
      <c r="G86" s="19">
        <f>VLOOKUP(B86,Table1data!$B:$O,7,FALSE)</f>
        <v>0</v>
      </c>
      <c r="H86" s="18">
        <f>VLOOKUP(B86,Table1data!$B:$O,8,FALSE)</f>
        <v>0</v>
      </c>
      <c r="I86" s="19">
        <f>VLOOKUP(B86,Table1data!$B:$O,9,FALSE)</f>
        <v>0</v>
      </c>
      <c r="J86" s="19">
        <f>VLOOKUP(B86,Table1data!$B:$O,10,FALSE)</f>
        <v>0</v>
      </c>
      <c r="K86" s="19">
        <f>VLOOKUP(B86,Table1data!$B:$O,11,FALSE)</f>
        <v>0</v>
      </c>
      <c r="L86" s="20">
        <f>VLOOKUP(B86,Table1data!$B:$O,12,FALSE)</f>
        <v>0</v>
      </c>
      <c r="M86" s="19">
        <f>VLOOKUP(B86,Table1data!$B:$O,13,FALSE)</f>
        <v>1</v>
      </c>
      <c r="N86" s="19">
        <f>VLOOKUP(B86,Table1data!$B:$O,14,FALSE)</f>
        <v>1</v>
      </c>
    </row>
    <row r="87" spans="1:14" ht="15">
      <c r="A87" s="7" t="s">
        <v>313</v>
      </c>
      <c r="B87" s="7" t="s">
        <v>314</v>
      </c>
      <c r="C87" s="16">
        <f>VLOOKUP(B87,Table1data!$B:$O,3,FALSE)</f>
        <v>17</v>
      </c>
      <c r="D87" s="19">
        <f>VLOOKUP(B87,Table1data!$B:$O,4,FALSE)</f>
        <v>0</v>
      </c>
      <c r="E87" s="19">
        <f>VLOOKUP(B87,Table1data!$B:$O,5,FALSE)</f>
        <v>10</v>
      </c>
      <c r="F87" s="19">
        <f>VLOOKUP(B87,Table1data!$B:$O,6,FALSE)</f>
        <v>0</v>
      </c>
      <c r="G87" s="19">
        <f>VLOOKUP(B87,Table1data!$B:$O,7,FALSE)</f>
        <v>5</v>
      </c>
      <c r="H87" s="18">
        <f>VLOOKUP(B87,Table1data!$B:$O,8,FALSE)</f>
        <v>12</v>
      </c>
      <c r="I87" s="19">
        <f>VLOOKUP(B87,Table1data!$B:$O,9,FALSE)</f>
        <v>0</v>
      </c>
      <c r="J87" s="19">
        <f>VLOOKUP(B87,Table1data!$B:$O,10,FALSE)</f>
        <v>8</v>
      </c>
      <c r="K87" s="19">
        <f>VLOOKUP(B87,Table1data!$B:$O,11,FALSE)</f>
        <v>0</v>
      </c>
      <c r="L87" s="20">
        <f>VLOOKUP(B87,Table1data!$B:$O,12,FALSE)</f>
        <v>3</v>
      </c>
      <c r="M87" s="19">
        <f>VLOOKUP(B87,Table1data!$B:$O,13,FALSE)</f>
        <v>27</v>
      </c>
      <c r="N87" s="19">
        <f>VLOOKUP(B87,Table1data!$B:$O,14,FALSE)</f>
        <v>32</v>
      </c>
    </row>
    <row r="88" spans="1:14" ht="15">
      <c r="A88" s="7" t="s">
        <v>315</v>
      </c>
      <c r="B88" s="7" t="s">
        <v>316</v>
      </c>
      <c r="C88" s="16">
        <f>VLOOKUP(B88,Table1data!$B:$O,3,FALSE)</f>
        <v>137</v>
      </c>
      <c r="D88" s="19">
        <f>VLOOKUP(B88,Table1data!$B:$O,4,FALSE)</f>
        <v>2</v>
      </c>
      <c r="E88" s="19">
        <f>VLOOKUP(B88,Table1data!$B:$O,5,FALSE)</f>
        <v>146</v>
      </c>
      <c r="F88" s="19">
        <f>VLOOKUP(B88,Table1data!$B:$O,6,FALSE)</f>
        <v>5</v>
      </c>
      <c r="G88" s="19">
        <f>VLOOKUP(B88,Table1data!$B:$O,7,FALSE)</f>
        <v>22</v>
      </c>
      <c r="H88" s="18">
        <f>VLOOKUP(B88,Table1data!$B:$O,8,FALSE)</f>
        <v>73</v>
      </c>
      <c r="I88" s="19">
        <f>VLOOKUP(B88,Table1data!$B:$O,9,FALSE)</f>
        <v>0</v>
      </c>
      <c r="J88" s="19">
        <f>VLOOKUP(B88,Table1data!$B:$O,10,FALSE)</f>
        <v>66</v>
      </c>
      <c r="K88" s="19">
        <f>VLOOKUP(B88,Table1data!$B:$O,11,FALSE)</f>
        <v>3</v>
      </c>
      <c r="L88" s="20">
        <f>VLOOKUP(B88,Table1data!$B:$O,12,FALSE)</f>
        <v>13</v>
      </c>
      <c r="M88" s="19">
        <f>VLOOKUP(B88,Table1data!$B:$O,13,FALSE)</f>
        <v>290</v>
      </c>
      <c r="N88" s="19">
        <f>VLOOKUP(B88,Table1data!$B:$O,14,FALSE)</f>
        <v>312</v>
      </c>
    </row>
    <row r="89" spans="1:14" ht="15">
      <c r="A89" s="7" t="s">
        <v>317</v>
      </c>
      <c r="B89" s="7" t="s">
        <v>318</v>
      </c>
      <c r="C89" s="16">
        <f>VLOOKUP(B89,Table1data!$B:$O,3,FALSE)</f>
        <v>0</v>
      </c>
      <c r="D89" s="19">
        <f>VLOOKUP(B89,Table1data!$B:$O,4,FALSE)</f>
        <v>0</v>
      </c>
      <c r="E89" s="19">
        <f>VLOOKUP(B89,Table1data!$B:$O,5,FALSE)</f>
        <v>0</v>
      </c>
      <c r="F89" s="19">
        <f>VLOOKUP(B89,Table1data!$B:$O,6,FALSE)</f>
        <v>1</v>
      </c>
      <c r="G89" s="19">
        <f>VLOOKUP(B89,Table1data!$B:$O,7,FALSE)</f>
        <v>0</v>
      </c>
      <c r="H89" s="18">
        <f>VLOOKUP(B89,Table1data!$B:$O,8,FALSE)</f>
        <v>0</v>
      </c>
      <c r="I89" s="19">
        <f>VLOOKUP(B89,Table1data!$B:$O,9,FALSE)</f>
        <v>0</v>
      </c>
      <c r="J89" s="19">
        <f>VLOOKUP(B89,Table1data!$B:$O,10,FALSE)</f>
        <v>0</v>
      </c>
      <c r="K89" s="19">
        <f>VLOOKUP(B89,Table1data!$B:$O,11,FALSE)</f>
        <v>1</v>
      </c>
      <c r="L89" s="20">
        <f>VLOOKUP(B89,Table1data!$B:$O,12,FALSE)</f>
        <v>0</v>
      </c>
      <c r="M89" s="19">
        <f>VLOOKUP(B89,Table1data!$B:$O,13,FALSE)</f>
        <v>1</v>
      </c>
      <c r="N89" s="19">
        <f>VLOOKUP(B89,Table1data!$B:$O,14,FALSE)</f>
        <v>1</v>
      </c>
    </row>
    <row r="90" spans="1:14" ht="15">
      <c r="A90" s="7" t="s">
        <v>319</v>
      </c>
      <c r="B90" s="7" t="s">
        <v>320</v>
      </c>
      <c r="C90" s="16">
        <f>VLOOKUP(B90,Table1data!$B:$O,3,FALSE)</f>
        <v>1</v>
      </c>
      <c r="D90" s="19">
        <f>VLOOKUP(B90,Table1data!$B:$O,4,FALSE)</f>
        <v>0</v>
      </c>
      <c r="E90" s="19">
        <f>VLOOKUP(B90,Table1data!$B:$O,5,FALSE)</f>
        <v>0</v>
      </c>
      <c r="F90" s="19">
        <f>VLOOKUP(B90,Table1data!$B:$O,6,FALSE)</f>
        <v>0</v>
      </c>
      <c r="G90" s="19">
        <f>VLOOKUP(B90,Table1data!$B:$O,7,FALSE)</f>
        <v>0</v>
      </c>
      <c r="H90" s="18">
        <f>VLOOKUP(B90,Table1data!$B:$O,8,FALSE)</f>
        <v>1</v>
      </c>
      <c r="I90" s="19">
        <f>VLOOKUP(B90,Table1data!$B:$O,9,FALSE)</f>
        <v>0</v>
      </c>
      <c r="J90" s="19">
        <f>VLOOKUP(B90,Table1data!$B:$O,10,FALSE)</f>
        <v>0</v>
      </c>
      <c r="K90" s="19">
        <f>VLOOKUP(B90,Table1data!$B:$O,11,FALSE)</f>
        <v>0</v>
      </c>
      <c r="L90" s="20">
        <f>VLOOKUP(B90,Table1data!$B:$O,12,FALSE)</f>
        <v>0</v>
      </c>
      <c r="M90" s="19">
        <f>VLOOKUP(B90,Table1data!$B:$O,13,FALSE)</f>
        <v>1</v>
      </c>
      <c r="N90" s="19">
        <f>VLOOKUP(B90,Table1data!$B:$O,14,FALSE)</f>
        <v>1</v>
      </c>
    </row>
    <row r="91" spans="1:14" ht="15">
      <c r="A91" s="7" t="s">
        <v>321</v>
      </c>
      <c r="B91" s="7" t="s">
        <v>322</v>
      </c>
      <c r="C91" s="16">
        <f>VLOOKUP(B91,Table1data!$B:$O,3,FALSE)</f>
        <v>0</v>
      </c>
      <c r="D91" s="19">
        <f>VLOOKUP(B91,Table1data!$B:$O,4,FALSE)</f>
        <v>0</v>
      </c>
      <c r="E91" s="19">
        <f>VLOOKUP(B91,Table1data!$B:$O,5,FALSE)</f>
        <v>0</v>
      </c>
      <c r="F91" s="19">
        <f>VLOOKUP(B91,Table1data!$B:$O,6,FALSE)</f>
        <v>2</v>
      </c>
      <c r="G91" s="19">
        <f>VLOOKUP(B91,Table1data!$B:$O,7,FALSE)</f>
        <v>0</v>
      </c>
      <c r="H91" s="18">
        <f>VLOOKUP(B91,Table1data!$B:$O,8,FALSE)</f>
        <v>0</v>
      </c>
      <c r="I91" s="19">
        <f>VLOOKUP(B91,Table1data!$B:$O,9,FALSE)</f>
        <v>0</v>
      </c>
      <c r="J91" s="19">
        <f>VLOOKUP(B91,Table1data!$B:$O,10,FALSE)</f>
        <v>0</v>
      </c>
      <c r="K91" s="19">
        <f>VLOOKUP(B91,Table1data!$B:$O,11,FALSE)</f>
        <v>2</v>
      </c>
      <c r="L91" s="20">
        <f>VLOOKUP(B91,Table1data!$B:$O,12,FALSE)</f>
        <v>0</v>
      </c>
      <c r="M91" s="19">
        <f>VLOOKUP(B91,Table1data!$B:$O,13,FALSE)</f>
        <v>2</v>
      </c>
      <c r="N91" s="19">
        <f>VLOOKUP(B91,Table1data!$B:$O,14,FALSE)</f>
        <v>2</v>
      </c>
    </row>
    <row r="92" spans="1:14" ht="15">
      <c r="A92" s="7" t="s">
        <v>323</v>
      </c>
      <c r="B92" s="7" t="s">
        <v>324</v>
      </c>
      <c r="C92" s="16">
        <f>VLOOKUP(B92,Table1data!$B:$O,3,FALSE)</f>
        <v>5</v>
      </c>
      <c r="D92" s="19">
        <f>VLOOKUP(B92,Table1data!$B:$O,4,FALSE)</f>
        <v>8</v>
      </c>
      <c r="E92" s="19">
        <f>VLOOKUP(B92,Table1data!$B:$O,5,FALSE)</f>
        <v>0</v>
      </c>
      <c r="F92" s="19">
        <f>VLOOKUP(B92,Table1data!$B:$O,6,FALSE)</f>
        <v>15</v>
      </c>
      <c r="G92" s="19">
        <f>VLOOKUP(B92,Table1data!$B:$O,7,FALSE)</f>
        <v>4</v>
      </c>
      <c r="H92" s="18">
        <f>VLOOKUP(B92,Table1data!$B:$O,8,FALSE)</f>
        <v>5</v>
      </c>
      <c r="I92" s="19">
        <f>VLOOKUP(B92,Table1data!$B:$O,9,FALSE)</f>
        <v>8</v>
      </c>
      <c r="J92" s="19">
        <f>VLOOKUP(B92,Table1data!$B:$O,10,FALSE)</f>
        <v>0</v>
      </c>
      <c r="K92" s="19">
        <f>VLOOKUP(B92,Table1data!$B:$O,11,FALSE)</f>
        <v>15</v>
      </c>
      <c r="L92" s="20">
        <f>VLOOKUP(B92,Table1data!$B:$O,12,FALSE)</f>
        <v>4</v>
      </c>
      <c r="M92" s="19">
        <f>VLOOKUP(B92,Table1data!$B:$O,13,FALSE)</f>
        <v>28</v>
      </c>
      <c r="N92" s="19">
        <f>VLOOKUP(B92,Table1data!$B:$O,14,FALSE)</f>
        <v>32</v>
      </c>
    </row>
    <row r="93" spans="1:14" ht="15">
      <c r="A93" s="7" t="s">
        <v>325</v>
      </c>
      <c r="B93" s="7" t="s">
        <v>326</v>
      </c>
      <c r="C93" s="84">
        <f>VLOOKUP(B93,Table1data!$B:$O,3,FALSE)</f>
        <v>3</v>
      </c>
      <c r="D93" s="85">
        <f>VLOOKUP(B93,Table1data!$B:$O,4,FALSE)</f>
        <v>2</v>
      </c>
      <c r="E93" s="85">
        <f>VLOOKUP(B93,Table1data!$B:$O,5,FALSE)</f>
        <v>0</v>
      </c>
      <c r="F93" s="85">
        <f>VLOOKUP(B93,Table1data!$B:$O,6,FALSE)</f>
        <v>2</v>
      </c>
      <c r="G93" s="85">
        <f>VLOOKUP(B93,Table1data!$B:$O,7,FALSE)</f>
        <v>3</v>
      </c>
      <c r="H93" s="87">
        <f>VLOOKUP(B93,Table1data!$B:$O,8,FALSE)</f>
        <v>3</v>
      </c>
      <c r="I93" s="85">
        <f>VLOOKUP(B93,Table1data!$B:$O,9,FALSE)</f>
        <v>2</v>
      </c>
      <c r="J93" s="85">
        <f>VLOOKUP(B93,Table1data!$B:$O,10,FALSE)</f>
        <v>0</v>
      </c>
      <c r="K93" s="85">
        <f>VLOOKUP(B93,Table1data!$B:$O,11,FALSE)</f>
        <v>2</v>
      </c>
      <c r="L93" s="88">
        <f>VLOOKUP(B93,Table1data!$B:$O,12,FALSE)</f>
        <v>3</v>
      </c>
      <c r="M93" s="85">
        <f>VLOOKUP(B93,Table1data!$B:$O,13,FALSE)</f>
        <v>7</v>
      </c>
      <c r="N93" s="85">
        <f>VLOOKUP(B93,Table1data!$B:$O,14,FALSE)</f>
        <v>10</v>
      </c>
    </row>
    <row r="94" spans="1:14" ht="15">
      <c r="A94" s="8"/>
      <c r="B94" s="8"/>
      <c r="C94" s="22">
        <f>SUM(C84:C93)</f>
        <v>306</v>
      </c>
      <c r="D94" s="22">
        <f aca="true" t="shared" si="6" ref="D94:N94">SUM(D84:D93)</f>
        <v>12</v>
      </c>
      <c r="E94" s="22">
        <f t="shared" si="6"/>
        <v>292</v>
      </c>
      <c r="F94" s="22">
        <f t="shared" si="6"/>
        <v>32</v>
      </c>
      <c r="G94" s="22">
        <f t="shared" si="6"/>
        <v>65</v>
      </c>
      <c r="H94" s="21">
        <f t="shared" si="6"/>
        <v>207</v>
      </c>
      <c r="I94" s="22">
        <f t="shared" si="6"/>
        <v>10</v>
      </c>
      <c r="J94" s="22">
        <f t="shared" si="6"/>
        <v>187</v>
      </c>
      <c r="K94" s="22">
        <f t="shared" si="6"/>
        <v>29</v>
      </c>
      <c r="L94" s="23">
        <f t="shared" si="6"/>
        <v>51</v>
      </c>
      <c r="M94" s="22">
        <f t="shared" si="6"/>
        <v>642</v>
      </c>
      <c r="N94" s="22">
        <f t="shared" si="6"/>
        <v>707</v>
      </c>
    </row>
    <row r="95" spans="1:14" ht="15">
      <c r="A95" s="8"/>
      <c r="B95" s="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9" t="s">
        <v>327</v>
      </c>
      <c r="B96" s="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5">
      <c r="A97" s="7" t="s">
        <v>328</v>
      </c>
      <c r="B97" s="10" t="s">
        <v>329</v>
      </c>
      <c r="C97" s="16">
        <f>VLOOKUP(B97,Table1data!$B:$O,3,FALSE)</f>
        <v>8</v>
      </c>
      <c r="D97" s="19">
        <f>VLOOKUP(B97,Table1data!$B:$O,4,FALSE)</f>
        <v>1</v>
      </c>
      <c r="E97" s="19">
        <f>VLOOKUP(B97,Table1data!$B:$O,5,FALSE)</f>
        <v>21</v>
      </c>
      <c r="F97" s="19">
        <f>VLOOKUP(B97,Table1data!$B:$O,6,FALSE)</f>
        <v>2</v>
      </c>
      <c r="G97" s="19">
        <f>VLOOKUP(B97,Table1data!$B:$O,7,FALSE)</f>
        <v>51</v>
      </c>
      <c r="H97" s="18">
        <f>VLOOKUP(B97,Table1data!$B:$O,8,FALSE)</f>
        <v>8</v>
      </c>
      <c r="I97" s="19">
        <f>VLOOKUP(B97,Table1data!$B:$O,9,FALSE)</f>
        <v>1</v>
      </c>
      <c r="J97" s="19">
        <f>VLOOKUP(B97,Table1data!$B:$O,10,FALSE)</f>
        <v>21</v>
      </c>
      <c r="K97" s="19">
        <f>VLOOKUP(B97,Table1data!$B:$O,11,FALSE)</f>
        <v>2</v>
      </c>
      <c r="L97" s="20">
        <f>VLOOKUP(B97,Table1data!$B:$O,12,FALSE)</f>
        <v>50</v>
      </c>
      <c r="M97" s="19">
        <f>VLOOKUP(B97,Table1data!$B:$O,13,FALSE)</f>
        <v>32</v>
      </c>
      <c r="N97" s="19">
        <f>VLOOKUP(B97,Table1data!$B:$O,14,FALSE)</f>
        <v>83</v>
      </c>
    </row>
    <row r="98" spans="1:14" ht="15">
      <c r="A98" s="7" t="s">
        <v>330</v>
      </c>
      <c r="B98" s="10" t="s">
        <v>331</v>
      </c>
      <c r="C98" s="16">
        <f>VLOOKUP(B98,Table1data!$B:$O,3,FALSE)</f>
        <v>14</v>
      </c>
      <c r="D98" s="19">
        <f>VLOOKUP(B98,Table1data!$B:$O,4,FALSE)</f>
        <v>0</v>
      </c>
      <c r="E98" s="19">
        <f>VLOOKUP(B98,Table1data!$B:$O,5,FALSE)</f>
        <v>39</v>
      </c>
      <c r="F98" s="19">
        <f>VLOOKUP(B98,Table1data!$B:$O,6,FALSE)</f>
        <v>3</v>
      </c>
      <c r="G98" s="19">
        <f>VLOOKUP(B98,Table1data!$B:$O,7,FALSE)</f>
        <v>55</v>
      </c>
      <c r="H98" s="18">
        <f>VLOOKUP(B98,Table1data!$B:$O,8,FALSE)</f>
        <v>4</v>
      </c>
      <c r="I98" s="19">
        <f>VLOOKUP(B98,Table1data!$B:$O,9,FALSE)</f>
        <v>0</v>
      </c>
      <c r="J98" s="19">
        <f>VLOOKUP(B98,Table1data!$B:$O,10,FALSE)</f>
        <v>11</v>
      </c>
      <c r="K98" s="19">
        <f>VLOOKUP(B98,Table1data!$B:$O,11,FALSE)</f>
        <v>1</v>
      </c>
      <c r="L98" s="20">
        <f>VLOOKUP(B98,Table1data!$B:$O,12,FALSE)</f>
        <v>34</v>
      </c>
      <c r="M98" s="19">
        <f>VLOOKUP(B98,Table1data!$B:$O,13,FALSE)</f>
        <v>56</v>
      </c>
      <c r="N98" s="19">
        <f>VLOOKUP(B98,Table1data!$B:$O,14,FALSE)</f>
        <v>111</v>
      </c>
    </row>
    <row r="99" spans="1:14" ht="15">
      <c r="A99" s="7" t="s">
        <v>332</v>
      </c>
      <c r="B99" s="10" t="s">
        <v>333</v>
      </c>
      <c r="C99" s="16">
        <f>VLOOKUP(B99,Table1data!$B:$O,3,FALSE)</f>
        <v>92</v>
      </c>
      <c r="D99" s="19">
        <f>VLOOKUP(B99,Table1data!$B:$O,4,FALSE)</f>
        <v>3</v>
      </c>
      <c r="E99" s="19">
        <f>VLOOKUP(B99,Table1data!$B:$O,5,FALSE)</f>
        <v>184</v>
      </c>
      <c r="F99" s="19">
        <f>VLOOKUP(B99,Table1data!$B:$O,6,FALSE)</f>
        <v>6</v>
      </c>
      <c r="G99" s="19">
        <f>VLOOKUP(B99,Table1data!$B:$O,7,FALSE)</f>
        <v>104</v>
      </c>
      <c r="H99" s="18">
        <f>VLOOKUP(B99,Table1data!$B:$O,8,FALSE)</f>
        <v>36</v>
      </c>
      <c r="I99" s="19">
        <f>VLOOKUP(B99,Table1data!$B:$O,9,FALSE)</f>
        <v>0</v>
      </c>
      <c r="J99" s="19">
        <f>VLOOKUP(B99,Table1data!$B:$O,10,FALSE)</f>
        <v>77</v>
      </c>
      <c r="K99" s="19">
        <f>VLOOKUP(B99,Table1data!$B:$O,11,FALSE)</f>
        <v>2</v>
      </c>
      <c r="L99" s="20">
        <f>VLOOKUP(B99,Table1data!$B:$O,12,FALSE)</f>
        <v>41</v>
      </c>
      <c r="M99" s="19">
        <f>VLOOKUP(B99,Table1data!$B:$O,13,FALSE)</f>
        <v>285</v>
      </c>
      <c r="N99" s="19">
        <f>VLOOKUP(B99,Table1data!$B:$O,14,FALSE)</f>
        <v>389</v>
      </c>
    </row>
    <row r="100" spans="1:14" ht="15">
      <c r="A100" s="7" t="s">
        <v>334</v>
      </c>
      <c r="B100" s="10" t="s">
        <v>335</v>
      </c>
      <c r="C100" s="16">
        <f>VLOOKUP(B100,Table1data!$B:$O,3,FALSE)</f>
        <v>46</v>
      </c>
      <c r="D100" s="19">
        <f>VLOOKUP(B100,Table1data!$B:$O,4,FALSE)</f>
        <v>122</v>
      </c>
      <c r="E100" s="19">
        <f>VLOOKUP(B100,Table1data!$B:$O,5,FALSE)</f>
        <v>0</v>
      </c>
      <c r="F100" s="19">
        <f>VLOOKUP(B100,Table1data!$B:$O,6,FALSE)</f>
        <v>13</v>
      </c>
      <c r="G100" s="19">
        <f>VLOOKUP(B100,Table1data!$B:$O,7,FALSE)</f>
        <v>1</v>
      </c>
      <c r="H100" s="18">
        <f>VLOOKUP(B100,Table1data!$B:$O,8,FALSE)</f>
        <v>46</v>
      </c>
      <c r="I100" s="19">
        <f>VLOOKUP(B100,Table1data!$B:$O,9,FALSE)</f>
        <v>116</v>
      </c>
      <c r="J100" s="19">
        <f>VLOOKUP(B100,Table1data!$B:$O,10,FALSE)</f>
        <v>0</v>
      </c>
      <c r="K100" s="19">
        <f>VLOOKUP(B100,Table1data!$B:$O,11,FALSE)</f>
        <v>13</v>
      </c>
      <c r="L100" s="20">
        <f>VLOOKUP(B100,Table1data!$B:$O,12,FALSE)</f>
        <v>1</v>
      </c>
      <c r="M100" s="19">
        <f>VLOOKUP(B100,Table1data!$B:$O,13,FALSE)</f>
        <v>181</v>
      </c>
      <c r="N100" s="19">
        <f>VLOOKUP(B100,Table1data!$B:$O,14,FALSE)</f>
        <v>182</v>
      </c>
    </row>
    <row r="101" spans="1:14" ht="15">
      <c r="A101" s="7" t="s">
        <v>336</v>
      </c>
      <c r="B101" s="10" t="s">
        <v>337</v>
      </c>
      <c r="C101" s="16">
        <f>VLOOKUP(B101,Table1data!$B:$O,3,FALSE)</f>
        <v>1</v>
      </c>
      <c r="D101" s="19">
        <f>VLOOKUP(B101,Table1data!$B:$O,4,FALSE)</f>
        <v>0</v>
      </c>
      <c r="E101" s="19">
        <f>VLOOKUP(B101,Table1data!$B:$O,5,FALSE)</f>
        <v>4</v>
      </c>
      <c r="F101" s="19">
        <f>VLOOKUP(B101,Table1data!$B:$O,6,FALSE)</f>
        <v>0</v>
      </c>
      <c r="G101" s="19">
        <f>VLOOKUP(B101,Table1data!$B:$O,7,FALSE)</f>
        <v>0</v>
      </c>
      <c r="H101" s="18">
        <f>VLOOKUP(B101,Table1data!$B:$O,8,FALSE)</f>
        <v>1</v>
      </c>
      <c r="I101" s="19">
        <f>VLOOKUP(B101,Table1data!$B:$O,9,FALSE)</f>
        <v>0</v>
      </c>
      <c r="J101" s="19">
        <f>VLOOKUP(B101,Table1data!$B:$O,10,FALSE)</f>
        <v>4</v>
      </c>
      <c r="K101" s="19">
        <f>VLOOKUP(B101,Table1data!$B:$O,11,FALSE)</f>
        <v>0</v>
      </c>
      <c r="L101" s="20">
        <f>VLOOKUP(B101,Table1data!$B:$O,12,FALSE)</f>
        <v>0</v>
      </c>
      <c r="M101" s="19">
        <f>VLOOKUP(B101,Table1data!$B:$O,13,FALSE)</f>
        <v>5</v>
      </c>
      <c r="N101" s="19">
        <f>VLOOKUP(B101,Table1data!$B:$O,14,FALSE)</f>
        <v>5</v>
      </c>
    </row>
    <row r="102" spans="1:14" ht="15">
      <c r="A102" s="7" t="s">
        <v>338</v>
      </c>
      <c r="B102" s="10" t="s">
        <v>339</v>
      </c>
      <c r="C102" s="16">
        <f>VLOOKUP(B102,Table1data!$B:$O,3,FALSE)</f>
        <v>0</v>
      </c>
      <c r="D102" s="19">
        <f>VLOOKUP(B102,Table1data!$B:$O,4,FALSE)</f>
        <v>0</v>
      </c>
      <c r="E102" s="19">
        <f>VLOOKUP(B102,Table1data!$B:$O,5,FALSE)</f>
        <v>0</v>
      </c>
      <c r="F102" s="19">
        <f>VLOOKUP(B102,Table1data!$B:$O,6,FALSE)</f>
        <v>0</v>
      </c>
      <c r="G102" s="19">
        <f>VLOOKUP(B102,Table1data!$B:$O,7,FALSE)</f>
        <v>1</v>
      </c>
      <c r="H102" s="18">
        <f>VLOOKUP(B102,Table1data!$B:$O,8,FALSE)</f>
        <v>0</v>
      </c>
      <c r="I102" s="19">
        <f>VLOOKUP(B102,Table1data!$B:$O,9,FALSE)</f>
        <v>0</v>
      </c>
      <c r="J102" s="19">
        <f>VLOOKUP(B102,Table1data!$B:$O,10,FALSE)</f>
        <v>0</v>
      </c>
      <c r="K102" s="19">
        <f>VLOOKUP(B102,Table1data!$B:$O,11,FALSE)</f>
        <v>0</v>
      </c>
      <c r="L102" s="20">
        <f>VLOOKUP(B102,Table1data!$B:$O,12,FALSE)</f>
        <v>1</v>
      </c>
      <c r="M102" s="19">
        <f>VLOOKUP(B102,Table1data!$B:$O,13,FALSE)</f>
        <v>0</v>
      </c>
      <c r="N102" s="19">
        <f>VLOOKUP(B102,Table1data!$B:$O,14,FALSE)</f>
        <v>1</v>
      </c>
    </row>
    <row r="103" spans="1:14" ht="15">
      <c r="A103" s="7" t="s">
        <v>340</v>
      </c>
      <c r="B103" s="10" t="s">
        <v>341</v>
      </c>
      <c r="C103" s="16">
        <f>VLOOKUP(B103,Table1data!$B:$O,3,FALSE)</f>
        <v>0</v>
      </c>
      <c r="D103" s="19">
        <f>VLOOKUP(B103,Table1data!$B:$O,4,FALSE)</f>
        <v>0</v>
      </c>
      <c r="E103" s="19">
        <f>VLOOKUP(B103,Table1data!$B:$O,5,FALSE)</f>
        <v>1</v>
      </c>
      <c r="F103" s="19">
        <f>VLOOKUP(B103,Table1data!$B:$O,6,FALSE)</f>
        <v>0</v>
      </c>
      <c r="G103" s="19">
        <f>VLOOKUP(B103,Table1data!$B:$O,7,FALSE)</f>
        <v>0</v>
      </c>
      <c r="H103" s="18">
        <f>VLOOKUP(B103,Table1data!$B:$O,8,FALSE)</f>
        <v>0</v>
      </c>
      <c r="I103" s="19">
        <f>VLOOKUP(B103,Table1data!$B:$O,9,FALSE)</f>
        <v>0</v>
      </c>
      <c r="J103" s="19">
        <f>VLOOKUP(B103,Table1data!$B:$O,10,FALSE)</f>
        <v>1</v>
      </c>
      <c r="K103" s="19">
        <f>VLOOKUP(B103,Table1data!$B:$O,11,FALSE)</f>
        <v>0</v>
      </c>
      <c r="L103" s="20">
        <f>VLOOKUP(B103,Table1data!$B:$O,12,FALSE)</f>
        <v>0</v>
      </c>
      <c r="M103" s="19">
        <f>VLOOKUP(B103,Table1data!$B:$O,13,FALSE)</f>
        <v>1</v>
      </c>
      <c r="N103" s="19">
        <f>VLOOKUP(B103,Table1data!$B:$O,14,FALSE)</f>
        <v>1</v>
      </c>
    </row>
    <row r="104" spans="1:14" ht="15">
      <c r="A104" s="7" t="s">
        <v>342</v>
      </c>
      <c r="B104" s="10" t="s">
        <v>343</v>
      </c>
      <c r="C104" s="84">
        <f>VLOOKUP(B104,Table1data!$B:$O,3,FALSE)</f>
        <v>0</v>
      </c>
      <c r="D104" s="85">
        <f>VLOOKUP(B104,Table1data!$B:$O,4,FALSE)</f>
        <v>0</v>
      </c>
      <c r="E104" s="85">
        <f>VLOOKUP(B104,Table1data!$B:$O,5,FALSE)</f>
        <v>0</v>
      </c>
      <c r="F104" s="85">
        <f>VLOOKUP(B104,Table1data!$B:$O,6,FALSE)</f>
        <v>0</v>
      </c>
      <c r="G104" s="85">
        <f>VLOOKUP(B104,Table1data!$B:$O,7,FALSE)</f>
        <v>2</v>
      </c>
      <c r="H104" s="87">
        <f>VLOOKUP(B104,Table1data!$B:$O,8,FALSE)</f>
        <v>0</v>
      </c>
      <c r="I104" s="85">
        <f>VLOOKUP(B104,Table1data!$B:$O,9,FALSE)</f>
        <v>0</v>
      </c>
      <c r="J104" s="85">
        <f>VLOOKUP(B104,Table1data!$B:$O,10,FALSE)</f>
        <v>0</v>
      </c>
      <c r="K104" s="85">
        <f>VLOOKUP(B104,Table1data!$B:$O,11,FALSE)</f>
        <v>0</v>
      </c>
      <c r="L104" s="88">
        <f>VLOOKUP(B104,Table1data!$B:$O,12,FALSE)</f>
        <v>2</v>
      </c>
      <c r="M104" s="85">
        <f>VLOOKUP(B104,Table1data!$B:$O,13,FALSE)</f>
        <v>0</v>
      </c>
      <c r="N104" s="85">
        <f>VLOOKUP(B104,Table1data!$B:$O,14,FALSE)</f>
        <v>2</v>
      </c>
    </row>
    <row r="105" spans="1:14" ht="15">
      <c r="A105" s="8"/>
      <c r="B105" s="8"/>
      <c r="C105" s="22">
        <f>SUM(C97:C104)</f>
        <v>161</v>
      </c>
      <c r="D105" s="22">
        <f aca="true" t="shared" si="7" ref="D105:N105">SUM(D97:D104)</f>
        <v>126</v>
      </c>
      <c r="E105" s="22">
        <f t="shared" si="7"/>
        <v>249</v>
      </c>
      <c r="F105" s="22">
        <f t="shared" si="7"/>
        <v>24</v>
      </c>
      <c r="G105" s="22">
        <f t="shared" si="7"/>
        <v>214</v>
      </c>
      <c r="H105" s="21">
        <f t="shared" si="7"/>
        <v>95</v>
      </c>
      <c r="I105" s="22">
        <f t="shared" si="7"/>
        <v>117</v>
      </c>
      <c r="J105" s="22">
        <f t="shared" si="7"/>
        <v>114</v>
      </c>
      <c r="K105" s="22">
        <f t="shared" si="7"/>
        <v>18</v>
      </c>
      <c r="L105" s="23">
        <f t="shared" si="7"/>
        <v>129</v>
      </c>
      <c r="M105" s="22">
        <f t="shared" si="7"/>
        <v>560</v>
      </c>
      <c r="N105" s="22">
        <f t="shared" si="7"/>
        <v>774</v>
      </c>
    </row>
    <row r="106" spans="1:14" ht="15">
      <c r="A106" s="8"/>
      <c r="B106" s="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5">
      <c r="A107" s="9">
        <v>2004</v>
      </c>
      <c r="B107" s="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">
      <c r="A108" s="7" t="s">
        <v>344</v>
      </c>
      <c r="B108" s="7" t="s">
        <v>345</v>
      </c>
      <c r="C108" s="16">
        <f>VLOOKUP(B108,Table1data!$B:$O,3,FALSE)</f>
        <v>0</v>
      </c>
      <c r="D108" s="19">
        <f>VLOOKUP(B108,Table1data!$B:$O,4,FALSE)</f>
        <v>2</v>
      </c>
      <c r="E108" s="19">
        <f>VLOOKUP(B108,Table1data!$B:$O,5,FALSE)</f>
        <v>26</v>
      </c>
      <c r="F108" s="19">
        <f>VLOOKUP(B108,Table1data!$B:$O,6,FALSE)</f>
        <v>2</v>
      </c>
      <c r="G108" s="19">
        <f>VLOOKUP(B108,Table1data!$B:$O,7,FALSE)</f>
        <v>7</v>
      </c>
      <c r="H108" s="18">
        <f>VLOOKUP(B108,Table1data!$B:$O,8,FALSE)</f>
        <v>0</v>
      </c>
      <c r="I108" s="19">
        <f>VLOOKUP(B108,Table1data!$B:$O,9,FALSE)</f>
        <v>2</v>
      </c>
      <c r="J108" s="19">
        <f>VLOOKUP(B108,Table1data!$B:$O,10,FALSE)</f>
        <v>25</v>
      </c>
      <c r="K108" s="19">
        <f>VLOOKUP(B108,Table1data!$B:$O,11,FALSE)</f>
        <v>2</v>
      </c>
      <c r="L108" s="20">
        <f>VLOOKUP(B108,Table1data!$B:$O,12,FALSE)</f>
        <v>6</v>
      </c>
      <c r="M108" s="19">
        <f>VLOOKUP(B108,Table1data!$B:$O,13,FALSE)</f>
        <v>30</v>
      </c>
      <c r="N108" s="19">
        <f>VLOOKUP(B108,Table1data!$B:$O,14,FALSE)</f>
        <v>37</v>
      </c>
    </row>
    <row r="109" spans="1:14" ht="15">
      <c r="A109" s="7" t="s">
        <v>346</v>
      </c>
      <c r="B109" s="7" t="s">
        <v>347</v>
      </c>
      <c r="C109" s="84">
        <f>VLOOKUP(B109,Table1data!$B:$O,3,FALSE)</f>
        <v>15</v>
      </c>
      <c r="D109" s="85">
        <f>VLOOKUP(B109,Table1data!$B:$O,4,FALSE)</f>
        <v>6</v>
      </c>
      <c r="E109" s="85">
        <f>VLOOKUP(B109,Table1data!$B:$O,5,FALSE)</f>
        <v>89</v>
      </c>
      <c r="F109" s="85">
        <f>VLOOKUP(B109,Table1data!$B:$O,6,FALSE)</f>
        <v>10</v>
      </c>
      <c r="G109" s="85">
        <f>VLOOKUP(B109,Table1data!$B:$O,7,FALSE)</f>
        <v>16</v>
      </c>
      <c r="H109" s="87">
        <f>VLOOKUP(B109,Table1data!$B:$O,8,FALSE)</f>
        <v>15</v>
      </c>
      <c r="I109" s="85">
        <f>VLOOKUP(B109,Table1data!$B:$O,9,FALSE)</f>
        <v>6</v>
      </c>
      <c r="J109" s="85">
        <f>VLOOKUP(B109,Table1data!$B:$O,10,FALSE)</f>
        <v>86</v>
      </c>
      <c r="K109" s="85">
        <f>VLOOKUP(B109,Table1data!$B:$O,11,FALSE)</f>
        <v>9</v>
      </c>
      <c r="L109" s="88">
        <f>VLOOKUP(B109,Table1data!$B:$O,12,FALSE)</f>
        <v>15</v>
      </c>
      <c r="M109" s="85">
        <f>VLOOKUP(B109,Table1data!$B:$O,13,FALSE)</f>
        <v>120</v>
      </c>
      <c r="N109" s="85">
        <f>VLOOKUP(B109,Table1data!$B:$O,14,FALSE)</f>
        <v>136</v>
      </c>
    </row>
    <row r="110" spans="1:14" ht="15">
      <c r="A110" s="8"/>
      <c r="B110" s="8"/>
      <c r="C110" s="22">
        <f>SUM(C108:C109)</f>
        <v>15</v>
      </c>
      <c r="D110" s="22">
        <f aca="true" t="shared" si="8" ref="D110:N110">SUM(D108:D109)</f>
        <v>8</v>
      </c>
      <c r="E110" s="22">
        <f t="shared" si="8"/>
        <v>115</v>
      </c>
      <c r="F110" s="22">
        <f t="shared" si="8"/>
        <v>12</v>
      </c>
      <c r="G110" s="22">
        <f t="shared" si="8"/>
        <v>23</v>
      </c>
      <c r="H110" s="21">
        <f t="shared" si="8"/>
        <v>15</v>
      </c>
      <c r="I110" s="22">
        <f t="shared" si="8"/>
        <v>8</v>
      </c>
      <c r="J110" s="22">
        <f t="shared" si="8"/>
        <v>111</v>
      </c>
      <c r="K110" s="22">
        <f t="shared" si="8"/>
        <v>11</v>
      </c>
      <c r="L110" s="23">
        <f t="shared" si="8"/>
        <v>21</v>
      </c>
      <c r="M110" s="22">
        <f t="shared" si="8"/>
        <v>150</v>
      </c>
      <c r="N110" s="22">
        <f t="shared" si="8"/>
        <v>173</v>
      </c>
    </row>
    <row r="111" spans="3:14" ht="1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">
      <c r="A112" s="2" t="s">
        <v>348</v>
      </c>
      <c r="C112" s="79">
        <f aca="true" t="shared" si="9" ref="C112:N112">C110+C105+C94+C81+C70+C61+C42+C35+C26</f>
        <v>7603</v>
      </c>
      <c r="D112" s="79">
        <f t="shared" si="9"/>
        <v>693</v>
      </c>
      <c r="E112" s="79">
        <f t="shared" si="9"/>
        <v>4306</v>
      </c>
      <c r="F112" s="79">
        <f t="shared" si="9"/>
        <v>885</v>
      </c>
      <c r="G112" s="79">
        <f t="shared" si="9"/>
        <v>3045</v>
      </c>
      <c r="H112" s="79">
        <f t="shared" si="9"/>
        <v>6806</v>
      </c>
      <c r="I112" s="79">
        <f t="shared" si="9"/>
        <v>639</v>
      </c>
      <c r="J112" s="79">
        <f t="shared" si="9"/>
        <v>3168</v>
      </c>
      <c r="K112" s="79">
        <f t="shared" si="9"/>
        <v>802</v>
      </c>
      <c r="L112" s="79">
        <f t="shared" si="9"/>
        <v>2760</v>
      </c>
      <c r="M112" s="79">
        <f t="shared" si="9"/>
        <v>13487</v>
      </c>
      <c r="N112" s="79">
        <f t="shared" si="9"/>
        <v>16532</v>
      </c>
    </row>
    <row r="113" spans="3:14" ht="1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5" ht="15">
      <c r="A115" s="2" t="s">
        <v>349</v>
      </c>
    </row>
    <row r="116" ht="15">
      <c r="A116" s="2" t="str">
        <f>"** The number of transfers includes "&amp;TEXT(Sundry!C2,"###,###,##0")&amp;" permit foreclosures and "&amp;TEXT(Sundry!D2,"###,###,##0")&amp;" subsequent transfers of these permits."</f>
        <v>** The number of transfers includes 342 permit foreclosures and 334 subsequent transfers of these permits.</v>
      </c>
    </row>
  </sheetData>
  <sheetProtection/>
  <mergeCells count="4">
    <mergeCell ref="H3:L3"/>
    <mergeCell ref="M3:N3"/>
    <mergeCell ref="A3:A4"/>
    <mergeCell ref="C3:G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10" sqref="A10"/>
    </sheetView>
  </sheetViews>
  <sheetFormatPr defaultColWidth="9.140625" defaultRowHeight="15"/>
  <sheetData>
    <row r="1" spans="1:17" ht="15">
      <c r="A1" s="66" t="s">
        <v>350</v>
      </c>
      <c r="B1" s="66" t="s">
        <v>351</v>
      </c>
      <c r="C1" s="66" t="s">
        <v>352</v>
      </c>
      <c r="D1" s="66" t="s">
        <v>353</v>
      </c>
      <c r="E1" s="66" t="s">
        <v>354</v>
      </c>
      <c r="F1" s="66" t="s">
        <v>355</v>
      </c>
      <c r="G1" s="66" t="s">
        <v>356</v>
      </c>
      <c r="H1" s="66" t="s">
        <v>357</v>
      </c>
      <c r="I1" s="66" t="s">
        <v>358</v>
      </c>
      <c r="J1" s="66" t="s">
        <v>359</v>
      </c>
      <c r="K1" s="66" t="s">
        <v>360</v>
      </c>
      <c r="L1" s="66" t="s">
        <v>361</v>
      </c>
      <c r="M1" s="66" t="s">
        <v>362</v>
      </c>
      <c r="N1" s="66" t="s">
        <v>363</v>
      </c>
      <c r="O1" s="66" t="s">
        <v>364</v>
      </c>
      <c r="P1" s="66" t="s">
        <v>365</v>
      </c>
      <c r="Q1" s="66" t="s">
        <v>366</v>
      </c>
    </row>
    <row r="2" spans="1:17" ht="15">
      <c r="A2" s="66" t="s">
        <v>367</v>
      </c>
      <c r="B2" s="66" t="s">
        <v>318</v>
      </c>
      <c r="C2" s="66" t="s">
        <v>368</v>
      </c>
      <c r="D2" s="66">
        <v>0</v>
      </c>
      <c r="E2" s="66">
        <v>0</v>
      </c>
      <c r="F2" s="66">
        <v>0</v>
      </c>
      <c r="G2" s="66">
        <v>1</v>
      </c>
      <c r="H2" s="66">
        <v>0</v>
      </c>
      <c r="I2" s="66">
        <v>0</v>
      </c>
      <c r="J2" s="66">
        <v>0</v>
      </c>
      <c r="K2" s="66">
        <v>0</v>
      </c>
      <c r="L2" s="66">
        <v>1</v>
      </c>
      <c r="M2" s="66">
        <v>0</v>
      </c>
      <c r="N2" s="66">
        <v>1</v>
      </c>
      <c r="O2" s="66">
        <v>1</v>
      </c>
      <c r="P2" s="66" t="s">
        <v>369</v>
      </c>
      <c r="Q2" s="66" t="s">
        <v>370</v>
      </c>
    </row>
    <row r="3" spans="1:17" ht="15">
      <c r="A3" s="66" t="s">
        <v>371</v>
      </c>
      <c r="B3" s="66" t="s">
        <v>320</v>
      </c>
      <c r="C3" s="66" t="s">
        <v>368</v>
      </c>
      <c r="D3" s="66">
        <v>1</v>
      </c>
      <c r="E3" s="66">
        <v>0</v>
      </c>
      <c r="F3" s="66">
        <v>0</v>
      </c>
      <c r="G3" s="66">
        <v>0</v>
      </c>
      <c r="H3" s="66">
        <v>0</v>
      </c>
      <c r="I3" s="66">
        <v>1</v>
      </c>
      <c r="J3" s="66">
        <v>0</v>
      </c>
      <c r="K3" s="66">
        <v>0</v>
      </c>
      <c r="L3" s="66">
        <v>0</v>
      </c>
      <c r="M3" s="66">
        <v>0</v>
      </c>
      <c r="N3" s="66">
        <v>1</v>
      </c>
      <c r="O3" s="66">
        <v>1</v>
      </c>
      <c r="P3" s="66" t="s">
        <v>369</v>
      </c>
      <c r="Q3" s="66" t="s">
        <v>370</v>
      </c>
    </row>
    <row r="4" spans="1:17" ht="15">
      <c r="A4" s="66" t="s">
        <v>372</v>
      </c>
      <c r="B4" s="66" t="s">
        <v>322</v>
      </c>
      <c r="C4" s="66" t="s">
        <v>368</v>
      </c>
      <c r="D4" s="66">
        <v>0</v>
      </c>
      <c r="E4" s="66">
        <v>0</v>
      </c>
      <c r="F4" s="66">
        <v>0</v>
      </c>
      <c r="G4" s="66">
        <v>2</v>
      </c>
      <c r="H4" s="66">
        <v>0</v>
      </c>
      <c r="I4" s="66">
        <v>0</v>
      </c>
      <c r="J4" s="66">
        <v>0</v>
      </c>
      <c r="K4" s="66">
        <v>0</v>
      </c>
      <c r="L4" s="66">
        <v>2</v>
      </c>
      <c r="M4" s="66">
        <v>0</v>
      </c>
      <c r="N4" s="66">
        <v>2</v>
      </c>
      <c r="O4" s="66">
        <v>2</v>
      </c>
      <c r="P4" s="66" t="s">
        <v>369</v>
      </c>
      <c r="Q4" s="66" t="s">
        <v>370</v>
      </c>
    </row>
    <row r="5" spans="1:17" ht="15">
      <c r="A5" s="66" t="s">
        <v>373</v>
      </c>
      <c r="B5" s="66" t="s">
        <v>324</v>
      </c>
      <c r="C5" s="66" t="s">
        <v>368</v>
      </c>
      <c r="D5" s="66">
        <v>5</v>
      </c>
      <c r="E5" s="66">
        <v>8</v>
      </c>
      <c r="F5" s="66">
        <v>0</v>
      </c>
      <c r="G5" s="66">
        <v>15</v>
      </c>
      <c r="H5" s="66">
        <v>4</v>
      </c>
      <c r="I5" s="66">
        <v>5</v>
      </c>
      <c r="J5" s="66">
        <v>8</v>
      </c>
      <c r="K5" s="66">
        <v>0</v>
      </c>
      <c r="L5" s="66">
        <v>15</v>
      </c>
      <c r="M5" s="66">
        <v>4</v>
      </c>
      <c r="N5" s="66">
        <v>28</v>
      </c>
      <c r="O5" s="66">
        <v>32</v>
      </c>
      <c r="P5" s="66" t="s">
        <v>369</v>
      </c>
      <c r="Q5" s="66" t="s">
        <v>370</v>
      </c>
    </row>
    <row r="6" spans="1:17" ht="15">
      <c r="A6" s="66" t="s">
        <v>374</v>
      </c>
      <c r="B6" s="66" t="s">
        <v>326</v>
      </c>
      <c r="C6" s="66" t="s">
        <v>368</v>
      </c>
      <c r="D6" s="66">
        <v>3</v>
      </c>
      <c r="E6" s="66">
        <v>2</v>
      </c>
      <c r="F6" s="66">
        <v>0</v>
      </c>
      <c r="G6" s="66">
        <v>2</v>
      </c>
      <c r="H6" s="66">
        <v>3</v>
      </c>
      <c r="I6" s="66">
        <v>3</v>
      </c>
      <c r="J6" s="66">
        <v>2</v>
      </c>
      <c r="K6" s="66">
        <v>0</v>
      </c>
      <c r="L6" s="66">
        <v>2</v>
      </c>
      <c r="M6" s="66">
        <v>3</v>
      </c>
      <c r="N6" s="66">
        <v>7</v>
      </c>
      <c r="O6" s="66">
        <v>10</v>
      </c>
      <c r="P6" s="66" t="s">
        <v>369</v>
      </c>
      <c r="Q6" s="66" t="s">
        <v>370</v>
      </c>
    </row>
    <row r="7" spans="1:17" ht="15">
      <c r="A7" s="66" t="s">
        <v>375</v>
      </c>
      <c r="B7" s="66" t="s">
        <v>249</v>
      </c>
      <c r="C7" s="66" t="s">
        <v>376</v>
      </c>
      <c r="D7" s="66">
        <v>8</v>
      </c>
      <c r="E7" s="66">
        <v>2</v>
      </c>
      <c r="F7" s="66">
        <v>37</v>
      </c>
      <c r="G7" s="66">
        <v>2</v>
      </c>
      <c r="H7" s="66">
        <v>22</v>
      </c>
      <c r="I7" s="66">
        <v>8</v>
      </c>
      <c r="J7" s="66">
        <v>2</v>
      </c>
      <c r="K7" s="66">
        <v>37</v>
      </c>
      <c r="L7" s="66">
        <v>2</v>
      </c>
      <c r="M7" s="66">
        <v>22</v>
      </c>
      <c r="N7" s="66">
        <v>49</v>
      </c>
      <c r="O7" s="66">
        <v>71</v>
      </c>
      <c r="P7" s="66" t="s">
        <v>369</v>
      </c>
      <c r="Q7" s="66" t="s">
        <v>377</v>
      </c>
    </row>
    <row r="8" spans="1:17" ht="15">
      <c r="A8" s="66" t="s">
        <v>375</v>
      </c>
      <c r="B8" s="66" t="s">
        <v>251</v>
      </c>
      <c r="C8" s="66" t="s">
        <v>376</v>
      </c>
      <c r="D8" s="66">
        <v>0</v>
      </c>
      <c r="E8" s="66">
        <v>0</v>
      </c>
      <c r="F8" s="66">
        <v>10</v>
      </c>
      <c r="G8" s="66">
        <v>0</v>
      </c>
      <c r="H8" s="66">
        <v>3</v>
      </c>
      <c r="I8" s="66">
        <v>0</v>
      </c>
      <c r="J8" s="66">
        <v>0</v>
      </c>
      <c r="K8" s="66">
        <v>10</v>
      </c>
      <c r="L8" s="66">
        <v>0</v>
      </c>
      <c r="M8" s="66">
        <v>3</v>
      </c>
      <c r="N8" s="66">
        <v>10</v>
      </c>
      <c r="O8" s="66">
        <v>13</v>
      </c>
      <c r="P8" s="66" t="s">
        <v>369</v>
      </c>
      <c r="Q8" s="66" t="s">
        <v>378</v>
      </c>
    </row>
    <row r="9" spans="1:17" ht="15">
      <c r="A9" s="66" t="s">
        <v>379</v>
      </c>
      <c r="B9" s="66" t="s">
        <v>253</v>
      </c>
      <c r="C9" s="66" t="s">
        <v>376</v>
      </c>
      <c r="D9" s="66">
        <v>1</v>
      </c>
      <c r="E9" s="66">
        <v>0</v>
      </c>
      <c r="F9" s="66">
        <v>1</v>
      </c>
      <c r="G9" s="66">
        <v>0</v>
      </c>
      <c r="H9" s="66">
        <v>1</v>
      </c>
      <c r="I9" s="66">
        <v>1</v>
      </c>
      <c r="J9" s="66">
        <v>0</v>
      </c>
      <c r="K9" s="66">
        <v>1</v>
      </c>
      <c r="L9" s="66">
        <v>0</v>
      </c>
      <c r="M9" s="66">
        <v>0</v>
      </c>
      <c r="N9" s="66">
        <v>2</v>
      </c>
      <c r="O9" s="66">
        <v>3</v>
      </c>
      <c r="P9" s="66" t="s">
        <v>369</v>
      </c>
      <c r="Q9" s="66" t="s">
        <v>378</v>
      </c>
    </row>
    <row r="10" spans="1:17" ht="15">
      <c r="A10" s="66" t="s">
        <v>380</v>
      </c>
      <c r="B10" s="66" t="s">
        <v>292</v>
      </c>
      <c r="C10" s="66" t="s">
        <v>381</v>
      </c>
      <c r="D10" s="66">
        <v>4</v>
      </c>
      <c r="E10" s="66">
        <v>0</v>
      </c>
      <c r="F10" s="66">
        <v>4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8</v>
      </c>
      <c r="O10" s="66">
        <v>8</v>
      </c>
      <c r="P10" s="66" t="s">
        <v>382</v>
      </c>
      <c r="Q10" s="66" t="s">
        <v>383</v>
      </c>
    </row>
    <row r="11" spans="1:17" ht="15">
      <c r="A11" s="66" t="s">
        <v>380</v>
      </c>
      <c r="B11" s="66" t="s">
        <v>304</v>
      </c>
      <c r="C11" s="66" t="s">
        <v>381</v>
      </c>
      <c r="D11" s="66">
        <v>1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</v>
      </c>
      <c r="O11" s="66">
        <v>1</v>
      </c>
      <c r="P11" s="66" t="s">
        <v>382</v>
      </c>
      <c r="Q11" s="66" t="s">
        <v>384</v>
      </c>
    </row>
    <row r="12" spans="1:17" ht="15">
      <c r="A12" s="66" t="s">
        <v>385</v>
      </c>
      <c r="B12" s="66" t="s">
        <v>294</v>
      </c>
      <c r="C12" s="66" t="s">
        <v>381</v>
      </c>
      <c r="D12" s="66">
        <v>0</v>
      </c>
      <c r="E12" s="66">
        <v>0</v>
      </c>
      <c r="F12" s="66">
        <v>3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3</v>
      </c>
      <c r="O12" s="66">
        <v>3</v>
      </c>
      <c r="P12" s="66" t="s">
        <v>382</v>
      </c>
      <c r="Q12" s="66" t="s">
        <v>383</v>
      </c>
    </row>
    <row r="13" spans="1:17" ht="15">
      <c r="A13" s="66" t="s">
        <v>379</v>
      </c>
      <c r="B13" s="66" t="s">
        <v>306</v>
      </c>
      <c r="C13" s="66" t="s">
        <v>381</v>
      </c>
      <c r="D13" s="66">
        <v>58</v>
      </c>
      <c r="E13" s="66">
        <v>3</v>
      </c>
      <c r="F13" s="66">
        <v>6</v>
      </c>
      <c r="G13" s="66">
        <v>2</v>
      </c>
      <c r="H13" s="66">
        <v>2</v>
      </c>
      <c r="I13" s="66">
        <v>49</v>
      </c>
      <c r="J13" s="66">
        <v>2</v>
      </c>
      <c r="K13" s="66">
        <v>4</v>
      </c>
      <c r="L13" s="66">
        <v>2</v>
      </c>
      <c r="M13" s="66">
        <v>2</v>
      </c>
      <c r="N13" s="66">
        <v>69</v>
      </c>
      <c r="O13" s="66">
        <v>71</v>
      </c>
      <c r="P13" s="66" t="s">
        <v>382</v>
      </c>
      <c r="Q13" s="66" t="s">
        <v>384</v>
      </c>
    </row>
    <row r="14" spans="1:17" ht="15">
      <c r="A14" s="66" t="s">
        <v>386</v>
      </c>
      <c r="B14" s="66" t="s">
        <v>296</v>
      </c>
      <c r="C14" s="66" t="s">
        <v>381</v>
      </c>
      <c r="D14" s="66">
        <v>8</v>
      </c>
      <c r="E14" s="66">
        <v>0</v>
      </c>
      <c r="F14" s="66">
        <v>32</v>
      </c>
      <c r="G14" s="66">
        <v>0</v>
      </c>
      <c r="H14" s="66">
        <v>12</v>
      </c>
      <c r="I14" s="66">
        <v>8</v>
      </c>
      <c r="J14" s="66">
        <v>0</v>
      </c>
      <c r="K14" s="66">
        <v>32</v>
      </c>
      <c r="L14" s="66">
        <v>0</v>
      </c>
      <c r="M14" s="66">
        <v>12</v>
      </c>
      <c r="N14" s="66">
        <v>40</v>
      </c>
      <c r="O14" s="66">
        <v>52</v>
      </c>
      <c r="P14" s="66" t="s">
        <v>382</v>
      </c>
      <c r="Q14" s="66" t="s">
        <v>383</v>
      </c>
    </row>
    <row r="15" spans="1:17" ht="15">
      <c r="A15" s="66" t="s">
        <v>387</v>
      </c>
      <c r="B15" s="66" t="s">
        <v>298</v>
      </c>
      <c r="C15" s="66" t="s">
        <v>381</v>
      </c>
      <c r="D15" s="66">
        <v>13</v>
      </c>
      <c r="E15" s="66">
        <v>0</v>
      </c>
      <c r="F15" s="66">
        <v>24</v>
      </c>
      <c r="G15" s="66">
        <v>1</v>
      </c>
      <c r="H15" s="66">
        <v>10</v>
      </c>
      <c r="I15" s="66">
        <v>13</v>
      </c>
      <c r="J15" s="66">
        <v>0</v>
      </c>
      <c r="K15" s="66">
        <v>22</v>
      </c>
      <c r="L15" s="66">
        <v>1</v>
      </c>
      <c r="M15" s="66">
        <v>10</v>
      </c>
      <c r="N15" s="66">
        <v>38</v>
      </c>
      <c r="O15" s="66">
        <v>48</v>
      </c>
      <c r="P15" s="66" t="s">
        <v>382</v>
      </c>
      <c r="Q15" s="66" t="s">
        <v>383</v>
      </c>
    </row>
    <row r="16" spans="1:17" ht="15">
      <c r="A16" s="66" t="s">
        <v>388</v>
      </c>
      <c r="B16" s="66" t="s">
        <v>300</v>
      </c>
      <c r="C16" s="66" t="s">
        <v>381</v>
      </c>
      <c r="D16" s="66">
        <v>26</v>
      </c>
      <c r="E16" s="66">
        <v>0</v>
      </c>
      <c r="F16" s="66">
        <v>48</v>
      </c>
      <c r="G16" s="66">
        <v>0</v>
      </c>
      <c r="H16" s="66">
        <v>13</v>
      </c>
      <c r="I16" s="66">
        <v>25</v>
      </c>
      <c r="J16" s="66">
        <v>0</v>
      </c>
      <c r="K16" s="66">
        <v>47</v>
      </c>
      <c r="L16" s="66">
        <v>0</v>
      </c>
      <c r="M16" s="66">
        <v>11</v>
      </c>
      <c r="N16" s="66">
        <v>74</v>
      </c>
      <c r="O16" s="66">
        <v>87</v>
      </c>
      <c r="P16" s="66" t="s">
        <v>382</v>
      </c>
      <c r="Q16" s="66" t="s">
        <v>383</v>
      </c>
    </row>
    <row r="17" spans="1:17" ht="15">
      <c r="A17" s="66" t="s">
        <v>389</v>
      </c>
      <c r="B17" s="66" t="s">
        <v>302</v>
      </c>
      <c r="C17" s="66" t="s">
        <v>381</v>
      </c>
      <c r="D17" s="66">
        <v>50</v>
      </c>
      <c r="E17" s="66">
        <v>1</v>
      </c>
      <c r="F17" s="66">
        <v>54</v>
      </c>
      <c r="G17" s="66">
        <v>1</v>
      </c>
      <c r="H17" s="66">
        <v>20</v>
      </c>
      <c r="I17" s="66">
        <v>36</v>
      </c>
      <c r="J17" s="66">
        <v>1</v>
      </c>
      <c r="K17" s="66">
        <v>29</v>
      </c>
      <c r="L17" s="66">
        <v>0</v>
      </c>
      <c r="M17" s="66">
        <v>6</v>
      </c>
      <c r="N17" s="66">
        <v>106</v>
      </c>
      <c r="O17" s="66">
        <v>126</v>
      </c>
      <c r="P17" s="66" t="s">
        <v>382</v>
      </c>
      <c r="Q17" s="66" t="s">
        <v>383</v>
      </c>
    </row>
    <row r="18" spans="1:17" ht="15">
      <c r="A18" s="66" t="s">
        <v>390</v>
      </c>
      <c r="B18" s="66" t="s">
        <v>238</v>
      </c>
      <c r="C18" s="66" t="s">
        <v>391</v>
      </c>
      <c r="D18" s="66">
        <v>4</v>
      </c>
      <c r="E18" s="66">
        <v>0</v>
      </c>
      <c r="F18" s="66">
        <v>37</v>
      </c>
      <c r="G18" s="66">
        <v>0</v>
      </c>
      <c r="H18" s="66">
        <v>6</v>
      </c>
      <c r="I18" s="66">
        <v>4</v>
      </c>
      <c r="J18" s="66">
        <v>0</v>
      </c>
      <c r="K18" s="66">
        <v>37</v>
      </c>
      <c r="L18" s="66">
        <v>0</v>
      </c>
      <c r="M18" s="66">
        <v>6</v>
      </c>
      <c r="N18" s="66">
        <v>41</v>
      </c>
      <c r="O18" s="66">
        <v>47</v>
      </c>
      <c r="P18" s="66" t="s">
        <v>392</v>
      </c>
      <c r="Q18" s="66" t="s">
        <v>383</v>
      </c>
    </row>
    <row r="19" spans="1:17" ht="15">
      <c r="A19" s="66" t="s">
        <v>390</v>
      </c>
      <c r="B19" s="66" t="s">
        <v>242</v>
      </c>
      <c r="C19" s="66" t="s">
        <v>391</v>
      </c>
      <c r="D19" s="66">
        <v>32</v>
      </c>
      <c r="E19" s="66">
        <v>42</v>
      </c>
      <c r="F19" s="66">
        <v>0</v>
      </c>
      <c r="G19" s="66">
        <v>20</v>
      </c>
      <c r="H19" s="66">
        <v>11</v>
      </c>
      <c r="I19" s="66">
        <v>32</v>
      </c>
      <c r="J19" s="66">
        <v>42</v>
      </c>
      <c r="K19" s="66">
        <v>0</v>
      </c>
      <c r="L19" s="66">
        <v>20</v>
      </c>
      <c r="M19" s="66">
        <v>11</v>
      </c>
      <c r="N19" s="66">
        <v>94</v>
      </c>
      <c r="O19" s="66">
        <v>105</v>
      </c>
      <c r="P19" s="66" t="s">
        <v>392</v>
      </c>
      <c r="Q19" s="66" t="s">
        <v>370</v>
      </c>
    </row>
    <row r="20" spans="1:17" ht="15">
      <c r="A20" s="66" t="s">
        <v>390</v>
      </c>
      <c r="B20" s="66" t="s">
        <v>244</v>
      </c>
      <c r="C20" s="66" t="s">
        <v>391</v>
      </c>
      <c r="D20" s="66">
        <v>46</v>
      </c>
      <c r="E20" s="66">
        <v>3</v>
      </c>
      <c r="F20" s="66">
        <v>4</v>
      </c>
      <c r="G20" s="66">
        <v>14</v>
      </c>
      <c r="H20" s="66">
        <v>8</v>
      </c>
      <c r="I20" s="66">
        <v>46</v>
      </c>
      <c r="J20" s="66">
        <v>3</v>
      </c>
      <c r="K20" s="66">
        <v>4</v>
      </c>
      <c r="L20" s="66">
        <v>14</v>
      </c>
      <c r="M20" s="66">
        <v>8</v>
      </c>
      <c r="N20" s="66">
        <v>67</v>
      </c>
      <c r="O20" s="66">
        <v>75</v>
      </c>
      <c r="P20" s="66" t="s">
        <v>393</v>
      </c>
      <c r="Q20" s="66" t="s">
        <v>384</v>
      </c>
    </row>
    <row r="21" spans="1:17" ht="15">
      <c r="A21" s="66" t="s">
        <v>390</v>
      </c>
      <c r="B21" s="66" t="s">
        <v>273</v>
      </c>
      <c r="C21" s="66" t="s">
        <v>376</v>
      </c>
      <c r="D21" s="66">
        <v>11</v>
      </c>
      <c r="E21" s="66">
        <v>10</v>
      </c>
      <c r="F21" s="66">
        <v>44</v>
      </c>
      <c r="G21" s="66">
        <v>2</v>
      </c>
      <c r="H21" s="66">
        <v>14</v>
      </c>
      <c r="I21" s="66">
        <v>9</v>
      </c>
      <c r="J21" s="66">
        <v>5</v>
      </c>
      <c r="K21" s="66">
        <v>36</v>
      </c>
      <c r="L21" s="66">
        <v>1</v>
      </c>
      <c r="M21" s="66">
        <v>6</v>
      </c>
      <c r="N21" s="66">
        <v>67</v>
      </c>
      <c r="O21" s="66">
        <v>81</v>
      </c>
      <c r="P21" s="66" t="s">
        <v>392</v>
      </c>
      <c r="Q21" s="66" t="s">
        <v>394</v>
      </c>
    </row>
    <row r="22" spans="1:17" ht="15">
      <c r="A22" s="66" t="s">
        <v>395</v>
      </c>
      <c r="B22" s="66" t="s">
        <v>282</v>
      </c>
      <c r="C22" s="66" t="s">
        <v>396</v>
      </c>
      <c r="D22" s="66">
        <v>0</v>
      </c>
      <c r="E22" s="66">
        <v>2</v>
      </c>
      <c r="F22" s="66">
        <v>0</v>
      </c>
      <c r="G22" s="66">
        <v>2</v>
      </c>
      <c r="H22" s="66">
        <v>3</v>
      </c>
      <c r="I22" s="66">
        <v>0</v>
      </c>
      <c r="J22" s="66">
        <v>2</v>
      </c>
      <c r="K22" s="66">
        <v>0</v>
      </c>
      <c r="L22" s="66">
        <v>2</v>
      </c>
      <c r="M22" s="66">
        <v>3</v>
      </c>
      <c r="N22" s="66">
        <v>4</v>
      </c>
      <c r="O22" s="66">
        <v>7</v>
      </c>
      <c r="P22" s="66" t="s">
        <v>392</v>
      </c>
      <c r="Q22" s="66" t="s">
        <v>397</v>
      </c>
    </row>
    <row r="23" spans="1:17" ht="15">
      <c r="A23" s="66" t="s">
        <v>398</v>
      </c>
      <c r="B23" s="66" t="s">
        <v>277</v>
      </c>
      <c r="C23" s="66" t="s">
        <v>376</v>
      </c>
      <c r="D23" s="66">
        <v>0</v>
      </c>
      <c r="E23" s="66">
        <v>0</v>
      </c>
      <c r="F23" s="66">
        <v>1</v>
      </c>
      <c r="G23" s="66">
        <v>0</v>
      </c>
      <c r="H23" s="66">
        <v>1</v>
      </c>
      <c r="I23" s="66">
        <v>0</v>
      </c>
      <c r="J23" s="66">
        <v>0</v>
      </c>
      <c r="K23" s="66">
        <v>1</v>
      </c>
      <c r="L23" s="66">
        <v>0</v>
      </c>
      <c r="M23" s="66">
        <v>0</v>
      </c>
      <c r="N23" s="66">
        <v>1</v>
      </c>
      <c r="O23" s="66">
        <v>2</v>
      </c>
      <c r="P23" s="66" t="s">
        <v>392</v>
      </c>
      <c r="Q23" s="66" t="s">
        <v>394</v>
      </c>
    </row>
    <row r="24" spans="1:17" ht="15">
      <c r="A24" s="66" t="s">
        <v>399</v>
      </c>
      <c r="B24" s="66" t="s">
        <v>240</v>
      </c>
      <c r="C24" s="66" t="s">
        <v>391</v>
      </c>
      <c r="D24" s="66">
        <v>18</v>
      </c>
      <c r="E24" s="66">
        <v>0</v>
      </c>
      <c r="F24" s="66">
        <v>65</v>
      </c>
      <c r="G24" s="66">
        <v>1</v>
      </c>
      <c r="H24" s="66">
        <v>27</v>
      </c>
      <c r="I24" s="66">
        <v>18</v>
      </c>
      <c r="J24" s="66">
        <v>0</v>
      </c>
      <c r="K24" s="66">
        <v>65</v>
      </c>
      <c r="L24" s="66">
        <v>1</v>
      </c>
      <c r="M24" s="66">
        <v>27</v>
      </c>
      <c r="N24" s="66">
        <v>84</v>
      </c>
      <c r="O24" s="66">
        <v>111</v>
      </c>
      <c r="P24" s="66" t="s">
        <v>393</v>
      </c>
      <c r="Q24" s="66" t="s">
        <v>383</v>
      </c>
    </row>
    <row r="25" spans="1:17" ht="15">
      <c r="A25" s="66" t="s">
        <v>399</v>
      </c>
      <c r="B25" s="66" t="s">
        <v>269</v>
      </c>
      <c r="C25" s="66" t="s">
        <v>376</v>
      </c>
      <c r="D25" s="66">
        <v>20</v>
      </c>
      <c r="E25" s="66">
        <v>0</v>
      </c>
      <c r="F25" s="66">
        <v>0</v>
      </c>
      <c r="G25" s="66">
        <v>0</v>
      </c>
      <c r="H25" s="66">
        <v>4</v>
      </c>
      <c r="I25" s="66">
        <v>20</v>
      </c>
      <c r="J25" s="66">
        <v>0</v>
      </c>
      <c r="K25" s="66">
        <v>0</v>
      </c>
      <c r="L25" s="66">
        <v>0</v>
      </c>
      <c r="M25" s="66">
        <v>4</v>
      </c>
      <c r="N25" s="66">
        <v>20</v>
      </c>
      <c r="O25" s="66">
        <v>24</v>
      </c>
      <c r="P25" s="66" t="s">
        <v>392</v>
      </c>
      <c r="Q25" s="66" t="s">
        <v>370</v>
      </c>
    </row>
    <row r="26" spans="1:17" ht="15">
      <c r="A26" s="66" t="s">
        <v>399</v>
      </c>
      <c r="B26" s="66" t="s">
        <v>275</v>
      </c>
      <c r="C26" s="66" t="s">
        <v>376</v>
      </c>
      <c r="D26" s="66">
        <v>5</v>
      </c>
      <c r="E26" s="66">
        <v>29</v>
      </c>
      <c r="F26" s="66">
        <v>53</v>
      </c>
      <c r="G26" s="66">
        <v>19</v>
      </c>
      <c r="H26" s="66">
        <v>13</v>
      </c>
      <c r="I26" s="66">
        <v>5</v>
      </c>
      <c r="J26" s="66">
        <v>21</v>
      </c>
      <c r="K26" s="66">
        <v>38</v>
      </c>
      <c r="L26" s="66">
        <v>12</v>
      </c>
      <c r="M26" s="66">
        <v>6</v>
      </c>
      <c r="N26" s="66">
        <v>106</v>
      </c>
      <c r="O26" s="66">
        <v>119</v>
      </c>
      <c r="P26" s="66" t="s">
        <v>392</v>
      </c>
      <c r="Q26" s="66" t="s">
        <v>394</v>
      </c>
    </row>
    <row r="27" spans="1:17" ht="15">
      <c r="A27" s="66" t="s">
        <v>399</v>
      </c>
      <c r="B27" s="66" t="s">
        <v>284</v>
      </c>
      <c r="C27" s="66" t="s">
        <v>396</v>
      </c>
      <c r="D27" s="66">
        <v>153</v>
      </c>
      <c r="E27" s="66">
        <v>7</v>
      </c>
      <c r="F27" s="66">
        <v>0</v>
      </c>
      <c r="G27" s="66">
        <v>9</v>
      </c>
      <c r="H27" s="66">
        <v>9</v>
      </c>
      <c r="I27" s="66">
        <v>136</v>
      </c>
      <c r="J27" s="66">
        <v>6</v>
      </c>
      <c r="K27" s="66">
        <v>0</v>
      </c>
      <c r="L27" s="66">
        <v>9</v>
      </c>
      <c r="M27" s="66">
        <v>7</v>
      </c>
      <c r="N27" s="66">
        <v>169</v>
      </c>
      <c r="O27" s="66">
        <v>178</v>
      </c>
      <c r="P27" s="66" t="s">
        <v>393</v>
      </c>
      <c r="Q27" s="66" t="s">
        <v>400</v>
      </c>
    </row>
    <row r="28" spans="1:17" ht="15">
      <c r="A28" s="66" t="s">
        <v>399</v>
      </c>
      <c r="B28" s="66" t="s">
        <v>286</v>
      </c>
      <c r="C28" s="66" t="s">
        <v>396</v>
      </c>
      <c r="D28" s="66">
        <v>45</v>
      </c>
      <c r="E28" s="66">
        <v>3</v>
      </c>
      <c r="F28" s="66">
        <v>0</v>
      </c>
      <c r="G28" s="66">
        <v>11</v>
      </c>
      <c r="H28" s="66">
        <v>5</v>
      </c>
      <c r="I28" s="66">
        <v>41</v>
      </c>
      <c r="J28" s="66">
        <v>3</v>
      </c>
      <c r="K28" s="66">
        <v>0</v>
      </c>
      <c r="L28" s="66">
        <v>7</v>
      </c>
      <c r="M28" s="66">
        <v>3</v>
      </c>
      <c r="N28" s="66">
        <v>59</v>
      </c>
      <c r="O28" s="66">
        <v>64</v>
      </c>
      <c r="P28" s="66" t="s">
        <v>393</v>
      </c>
      <c r="Q28" s="66" t="s">
        <v>401</v>
      </c>
    </row>
    <row r="29" spans="1:17" ht="15">
      <c r="A29" s="66" t="s">
        <v>399</v>
      </c>
      <c r="B29" s="66" t="s">
        <v>335</v>
      </c>
      <c r="C29" s="66" t="s">
        <v>402</v>
      </c>
      <c r="D29" s="66">
        <v>46</v>
      </c>
      <c r="E29" s="66">
        <v>122</v>
      </c>
      <c r="F29" s="66">
        <v>0</v>
      </c>
      <c r="G29" s="66">
        <v>13</v>
      </c>
      <c r="H29" s="66">
        <v>1</v>
      </c>
      <c r="I29" s="66">
        <v>46</v>
      </c>
      <c r="J29" s="66">
        <v>116</v>
      </c>
      <c r="K29" s="66">
        <v>0</v>
      </c>
      <c r="L29" s="66">
        <v>13</v>
      </c>
      <c r="M29" s="66">
        <v>1</v>
      </c>
      <c r="N29" s="66">
        <v>181</v>
      </c>
      <c r="O29" s="66">
        <v>182</v>
      </c>
      <c r="P29" s="66" t="s">
        <v>393</v>
      </c>
      <c r="Q29" s="66" t="s">
        <v>403</v>
      </c>
    </row>
    <row r="30" spans="1:17" ht="15">
      <c r="A30" s="66" t="s">
        <v>399</v>
      </c>
      <c r="B30" s="66" t="s">
        <v>288</v>
      </c>
      <c r="C30" s="66" t="s">
        <v>396</v>
      </c>
      <c r="D30" s="66">
        <v>94</v>
      </c>
      <c r="E30" s="66">
        <v>5</v>
      </c>
      <c r="F30" s="66">
        <v>0</v>
      </c>
      <c r="G30" s="66">
        <v>4</v>
      </c>
      <c r="H30" s="66">
        <v>3</v>
      </c>
      <c r="I30" s="66">
        <v>88</v>
      </c>
      <c r="J30" s="66">
        <v>2</v>
      </c>
      <c r="K30" s="66">
        <v>0</v>
      </c>
      <c r="L30" s="66">
        <v>2</v>
      </c>
      <c r="M30" s="66">
        <v>0</v>
      </c>
      <c r="N30" s="66">
        <v>103</v>
      </c>
      <c r="O30" s="66">
        <v>106</v>
      </c>
      <c r="P30" s="66" t="s">
        <v>393</v>
      </c>
      <c r="Q30" s="66" t="s">
        <v>404</v>
      </c>
    </row>
    <row r="31" spans="1:17" ht="15">
      <c r="A31" s="66" t="s">
        <v>399</v>
      </c>
      <c r="B31" s="66" t="s">
        <v>290</v>
      </c>
      <c r="C31" s="66" t="s">
        <v>396</v>
      </c>
      <c r="D31" s="66">
        <v>152</v>
      </c>
      <c r="E31" s="66">
        <v>27</v>
      </c>
      <c r="F31" s="66">
        <v>7</v>
      </c>
      <c r="G31" s="66">
        <v>46</v>
      </c>
      <c r="H31" s="66">
        <v>63</v>
      </c>
      <c r="I31" s="66">
        <v>152</v>
      </c>
      <c r="J31" s="66">
        <v>27</v>
      </c>
      <c r="K31" s="66">
        <v>7</v>
      </c>
      <c r="L31" s="66">
        <v>46</v>
      </c>
      <c r="M31" s="66">
        <v>63</v>
      </c>
      <c r="N31" s="66">
        <v>232</v>
      </c>
      <c r="O31" s="66">
        <v>295</v>
      </c>
      <c r="P31" s="66" t="s">
        <v>393</v>
      </c>
      <c r="Q31" s="66" t="s">
        <v>397</v>
      </c>
    </row>
    <row r="32" spans="1:17" ht="15">
      <c r="A32" s="66" t="s">
        <v>405</v>
      </c>
      <c r="B32" s="66" t="s">
        <v>337</v>
      </c>
      <c r="C32" s="66" t="s">
        <v>402</v>
      </c>
      <c r="D32" s="66">
        <v>1</v>
      </c>
      <c r="E32" s="66">
        <v>0</v>
      </c>
      <c r="F32" s="66">
        <v>4</v>
      </c>
      <c r="G32" s="66">
        <v>0</v>
      </c>
      <c r="H32" s="66">
        <v>0</v>
      </c>
      <c r="I32" s="66">
        <v>1</v>
      </c>
      <c r="J32" s="66">
        <v>0</v>
      </c>
      <c r="K32" s="66">
        <v>4</v>
      </c>
      <c r="L32" s="66">
        <v>0</v>
      </c>
      <c r="M32" s="66">
        <v>0</v>
      </c>
      <c r="N32" s="66">
        <v>5</v>
      </c>
      <c r="O32" s="66">
        <v>5</v>
      </c>
      <c r="P32" s="66" t="s">
        <v>406</v>
      </c>
      <c r="Q32" s="66" t="s">
        <v>394</v>
      </c>
    </row>
    <row r="33" spans="1:17" ht="15">
      <c r="A33" s="66" t="s">
        <v>407</v>
      </c>
      <c r="B33" s="66" t="s">
        <v>339</v>
      </c>
      <c r="C33" s="66" t="s">
        <v>402</v>
      </c>
      <c r="D33" s="66">
        <v>0</v>
      </c>
      <c r="E33" s="66">
        <v>0</v>
      </c>
      <c r="F33" s="66">
        <v>0</v>
      </c>
      <c r="G33" s="66">
        <v>0</v>
      </c>
      <c r="H33" s="66">
        <v>1</v>
      </c>
      <c r="I33" s="66">
        <v>0</v>
      </c>
      <c r="J33" s="66">
        <v>0</v>
      </c>
      <c r="K33" s="66">
        <v>0</v>
      </c>
      <c r="L33" s="66">
        <v>0</v>
      </c>
      <c r="M33" s="66">
        <v>1</v>
      </c>
      <c r="N33" s="66">
        <v>0</v>
      </c>
      <c r="O33" s="66">
        <v>1</v>
      </c>
      <c r="P33" s="66" t="s">
        <v>406</v>
      </c>
      <c r="Q33" s="66" t="s">
        <v>394</v>
      </c>
    </row>
    <row r="34" spans="1:17" ht="15">
      <c r="A34" s="66" t="s">
        <v>408</v>
      </c>
      <c r="B34" s="66" t="s">
        <v>341</v>
      </c>
      <c r="C34" s="66" t="s">
        <v>402</v>
      </c>
      <c r="D34" s="66">
        <v>0</v>
      </c>
      <c r="E34" s="66">
        <v>0</v>
      </c>
      <c r="F34" s="66">
        <v>1</v>
      </c>
      <c r="G34" s="66">
        <v>0</v>
      </c>
      <c r="H34" s="66">
        <v>0</v>
      </c>
      <c r="I34" s="66">
        <v>0</v>
      </c>
      <c r="J34" s="66">
        <v>0</v>
      </c>
      <c r="K34" s="66">
        <v>1</v>
      </c>
      <c r="L34" s="66">
        <v>0</v>
      </c>
      <c r="M34" s="66">
        <v>0</v>
      </c>
      <c r="N34" s="66">
        <v>1</v>
      </c>
      <c r="O34" s="66">
        <v>1</v>
      </c>
      <c r="P34" s="66" t="s">
        <v>406</v>
      </c>
      <c r="Q34" s="66" t="s">
        <v>394</v>
      </c>
    </row>
    <row r="35" spans="1:17" ht="15">
      <c r="A35" s="66" t="s">
        <v>409</v>
      </c>
      <c r="B35" s="66" t="s">
        <v>343</v>
      </c>
      <c r="C35" s="66" t="s">
        <v>402</v>
      </c>
      <c r="D35" s="66">
        <v>0</v>
      </c>
      <c r="E35" s="66">
        <v>0</v>
      </c>
      <c r="F35" s="66">
        <v>0</v>
      </c>
      <c r="G35" s="66">
        <v>0</v>
      </c>
      <c r="H35" s="66">
        <v>2</v>
      </c>
      <c r="I35" s="66">
        <v>0</v>
      </c>
      <c r="J35" s="66">
        <v>0</v>
      </c>
      <c r="K35" s="66">
        <v>0</v>
      </c>
      <c r="L35" s="66">
        <v>0</v>
      </c>
      <c r="M35" s="66">
        <v>2</v>
      </c>
      <c r="N35" s="66">
        <v>0</v>
      </c>
      <c r="O35" s="66">
        <v>2</v>
      </c>
      <c r="P35" s="66" t="s">
        <v>406</v>
      </c>
      <c r="Q35" s="66" t="s">
        <v>394</v>
      </c>
    </row>
    <row r="36" spans="1:17" ht="15">
      <c r="A36" s="66" t="s">
        <v>385</v>
      </c>
      <c r="B36" s="66" t="s">
        <v>331</v>
      </c>
      <c r="C36" s="66" t="s">
        <v>402</v>
      </c>
      <c r="D36" s="66">
        <v>14</v>
      </c>
      <c r="E36" s="66">
        <v>0</v>
      </c>
      <c r="F36" s="66">
        <v>39</v>
      </c>
      <c r="G36" s="66">
        <v>3</v>
      </c>
      <c r="H36" s="66">
        <v>55</v>
      </c>
      <c r="I36" s="66">
        <v>4</v>
      </c>
      <c r="J36" s="66">
        <v>0</v>
      </c>
      <c r="K36" s="66">
        <v>11</v>
      </c>
      <c r="L36" s="66">
        <v>1</v>
      </c>
      <c r="M36" s="66">
        <v>34</v>
      </c>
      <c r="N36" s="66">
        <v>56</v>
      </c>
      <c r="O36" s="66">
        <v>111</v>
      </c>
      <c r="P36" s="66" t="s">
        <v>410</v>
      </c>
      <c r="Q36" s="66" t="s">
        <v>383</v>
      </c>
    </row>
    <row r="37" spans="1:17" ht="15">
      <c r="A37" s="66" t="s">
        <v>379</v>
      </c>
      <c r="B37" s="66" t="s">
        <v>255</v>
      </c>
      <c r="C37" s="66" t="s">
        <v>376</v>
      </c>
      <c r="D37" s="66">
        <v>1</v>
      </c>
      <c r="E37" s="66">
        <v>0</v>
      </c>
      <c r="F37" s="66">
        <v>3</v>
      </c>
      <c r="G37" s="66">
        <v>0</v>
      </c>
      <c r="H37" s="66">
        <v>2</v>
      </c>
      <c r="I37" s="66">
        <v>1</v>
      </c>
      <c r="J37" s="66">
        <v>0</v>
      </c>
      <c r="K37" s="66">
        <v>3</v>
      </c>
      <c r="L37" s="66">
        <v>0</v>
      </c>
      <c r="M37" s="66">
        <v>2</v>
      </c>
      <c r="N37" s="66">
        <v>4</v>
      </c>
      <c r="O37" s="66">
        <v>6</v>
      </c>
      <c r="P37" s="66" t="s">
        <v>411</v>
      </c>
      <c r="Q37" s="66" t="s">
        <v>383</v>
      </c>
    </row>
    <row r="38" spans="1:17" ht="15">
      <c r="A38" s="66" t="s">
        <v>379</v>
      </c>
      <c r="B38" s="66" t="s">
        <v>257</v>
      </c>
      <c r="C38" s="66" t="s">
        <v>376</v>
      </c>
      <c r="D38" s="66">
        <v>0</v>
      </c>
      <c r="E38" s="66">
        <v>0</v>
      </c>
      <c r="F38" s="66">
        <v>5</v>
      </c>
      <c r="G38" s="66">
        <v>0</v>
      </c>
      <c r="H38" s="66">
        <v>2</v>
      </c>
      <c r="I38" s="66">
        <v>0</v>
      </c>
      <c r="J38" s="66">
        <v>0</v>
      </c>
      <c r="K38" s="66">
        <v>4</v>
      </c>
      <c r="L38" s="66">
        <v>0</v>
      </c>
      <c r="M38" s="66">
        <v>1</v>
      </c>
      <c r="N38" s="66">
        <v>5</v>
      </c>
      <c r="O38" s="66">
        <v>7</v>
      </c>
      <c r="P38" s="66" t="s">
        <v>412</v>
      </c>
      <c r="Q38" s="66" t="s">
        <v>383</v>
      </c>
    </row>
    <row r="39" spans="1:17" ht="15">
      <c r="A39" s="66" t="s">
        <v>379</v>
      </c>
      <c r="B39" s="66" t="s">
        <v>259</v>
      </c>
      <c r="C39" s="66" t="s">
        <v>376</v>
      </c>
      <c r="D39" s="66">
        <v>0</v>
      </c>
      <c r="E39" s="66">
        <v>0</v>
      </c>
      <c r="F39" s="66">
        <v>8</v>
      </c>
      <c r="G39" s="66">
        <v>0</v>
      </c>
      <c r="H39" s="66">
        <v>1</v>
      </c>
      <c r="I39" s="66">
        <v>0</v>
      </c>
      <c r="J39" s="66">
        <v>0</v>
      </c>
      <c r="K39" s="66">
        <v>3</v>
      </c>
      <c r="L39" s="66">
        <v>0</v>
      </c>
      <c r="M39" s="66">
        <v>1</v>
      </c>
      <c r="N39" s="66">
        <v>8</v>
      </c>
      <c r="O39" s="66">
        <v>9</v>
      </c>
      <c r="P39" s="66" t="s">
        <v>413</v>
      </c>
      <c r="Q39" s="66" t="s">
        <v>383</v>
      </c>
    </row>
    <row r="40" spans="1:17" ht="15">
      <c r="A40" s="66" t="s">
        <v>379</v>
      </c>
      <c r="B40" s="66" t="s">
        <v>261</v>
      </c>
      <c r="C40" s="66" t="s">
        <v>376</v>
      </c>
      <c r="D40" s="66">
        <v>1</v>
      </c>
      <c r="E40" s="66">
        <v>0</v>
      </c>
      <c r="F40" s="66">
        <v>12</v>
      </c>
      <c r="G40" s="66">
        <v>0</v>
      </c>
      <c r="H40" s="66">
        <v>1</v>
      </c>
      <c r="I40" s="66">
        <v>1</v>
      </c>
      <c r="J40" s="66">
        <v>0</v>
      </c>
      <c r="K40" s="66">
        <v>12</v>
      </c>
      <c r="L40" s="66">
        <v>0</v>
      </c>
      <c r="M40" s="66">
        <v>1</v>
      </c>
      <c r="N40" s="66">
        <v>13</v>
      </c>
      <c r="O40" s="66">
        <v>14</v>
      </c>
      <c r="P40" s="66" t="s">
        <v>414</v>
      </c>
      <c r="Q40" s="66" t="s">
        <v>383</v>
      </c>
    </row>
    <row r="41" spans="1:17" ht="15">
      <c r="A41" s="66" t="s">
        <v>379</v>
      </c>
      <c r="B41" s="66" t="s">
        <v>263</v>
      </c>
      <c r="C41" s="66" t="s">
        <v>376</v>
      </c>
      <c r="D41" s="66">
        <v>1</v>
      </c>
      <c r="E41" s="66">
        <v>0</v>
      </c>
      <c r="F41" s="66">
        <v>2</v>
      </c>
      <c r="G41" s="66">
        <v>0</v>
      </c>
      <c r="H41" s="66">
        <v>3</v>
      </c>
      <c r="I41" s="66">
        <v>1</v>
      </c>
      <c r="J41" s="66">
        <v>0</v>
      </c>
      <c r="K41" s="66">
        <v>1</v>
      </c>
      <c r="L41" s="66">
        <v>0</v>
      </c>
      <c r="M41" s="66">
        <v>2</v>
      </c>
      <c r="N41" s="66">
        <v>3</v>
      </c>
      <c r="O41" s="66">
        <v>6</v>
      </c>
      <c r="P41" s="66" t="s">
        <v>415</v>
      </c>
      <c r="Q41" s="66" t="s">
        <v>383</v>
      </c>
    </row>
    <row r="42" spans="1:17" ht="15">
      <c r="A42" s="66" t="s">
        <v>379</v>
      </c>
      <c r="B42" s="66" t="s">
        <v>265</v>
      </c>
      <c r="C42" s="66" t="s">
        <v>376</v>
      </c>
      <c r="D42" s="66">
        <v>5</v>
      </c>
      <c r="E42" s="66">
        <v>0</v>
      </c>
      <c r="F42" s="66">
        <v>22</v>
      </c>
      <c r="G42" s="66">
        <v>0</v>
      </c>
      <c r="H42" s="66">
        <v>2</v>
      </c>
      <c r="I42" s="66">
        <v>5</v>
      </c>
      <c r="J42" s="66">
        <v>0</v>
      </c>
      <c r="K42" s="66">
        <v>20</v>
      </c>
      <c r="L42" s="66">
        <v>0</v>
      </c>
      <c r="M42" s="66">
        <v>2</v>
      </c>
      <c r="N42" s="66">
        <v>27</v>
      </c>
      <c r="O42" s="66">
        <v>29</v>
      </c>
      <c r="P42" s="66" t="s">
        <v>416</v>
      </c>
      <c r="Q42" s="66" t="s">
        <v>383</v>
      </c>
    </row>
    <row r="43" spans="1:17" ht="15">
      <c r="A43" s="66" t="s">
        <v>417</v>
      </c>
      <c r="B43" s="66" t="s">
        <v>280</v>
      </c>
      <c r="C43" s="66" t="s">
        <v>396</v>
      </c>
      <c r="D43" s="66">
        <v>276</v>
      </c>
      <c r="E43" s="66">
        <v>5</v>
      </c>
      <c r="F43" s="66">
        <v>0</v>
      </c>
      <c r="G43" s="66">
        <v>5</v>
      </c>
      <c r="H43" s="66">
        <v>5</v>
      </c>
      <c r="I43" s="66">
        <v>276</v>
      </c>
      <c r="J43" s="66">
        <v>5</v>
      </c>
      <c r="K43" s="66">
        <v>0</v>
      </c>
      <c r="L43" s="66">
        <v>5</v>
      </c>
      <c r="M43" s="66">
        <v>5</v>
      </c>
      <c r="N43" s="66">
        <v>286</v>
      </c>
      <c r="O43" s="66">
        <v>291</v>
      </c>
      <c r="P43" s="66" t="s">
        <v>418</v>
      </c>
      <c r="Q43" s="66" t="s">
        <v>419</v>
      </c>
    </row>
    <row r="44" spans="1:17" ht="15">
      <c r="A44" s="66" t="s">
        <v>420</v>
      </c>
      <c r="B44" s="66" t="s">
        <v>308</v>
      </c>
      <c r="C44" s="66" t="s">
        <v>368</v>
      </c>
      <c r="D44" s="66">
        <v>14</v>
      </c>
      <c r="E44" s="66">
        <v>0</v>
      </c>
      <c r="F44" s="66">
        <v>71</v>
      </c>
      <c r="G44" s="66">
        <v>5</v>
      </c>
      <c r="H44" s="66">
        <v>17</v>
      </c>
      <c r="I44" s="66">
        <v>14</v>
      </c>
      <c r="J44" s="66">
        <v>0</v>
      </c>
      <c r="K44" s="66">
        <v>71</v>
      </c>
      <c r="L44" s="66">
        <v>5</v>
      </c>
      <c r="M44" s="66">
        <v>17</v>
      </c>
      <c r="N44" s="66">
        <v>90</v>
      </c>
      <c r="O44" s="66">
        <v>107</v>
      </c>
      <c r="P44" s="66" t="s">
        <v>418</v>
      </c>
      <c r="Q44" s="66" t="s">
        <v>377</v>
      </c>
    </row>
    <row r="45" spans="1:17" ht="15">
      <c r="A45" s="66" t="s">
        <v>420</v>
      </c>
      <c r="B45" s="66" t="s">
        <v>310</v>
      </c>
      <c r="C45" s="66" t="s">
        <v>368</v>
      </c>
      <c r="D45" s="66">
        <v>129</v>
      </c>
      <c r="E45" s="66">
        <v>0</v>
      </c>
      <c r="F45" s="66">
        <v>65</v>
      </c>
      <c r="G45" s="66">
        <v>1</v>
      </c>
      <c r="H45" s="66">
        <v>14</v>
      </c>
      <c r="I45" s="66">
        <v>99</v>
      </c>
      <c r="J45" s="66">
        <v>0</v>
      </c>
      <c r="K45" s="66">
        <v>42</v>
      </c>
      <c r="L45" s="66">
        <v>1</v>
      </c>
      <c r="M45" s="66">
        <v>11</v>
      </c>
      <c r="N45" s="66">
        <v>195</v>
      </c>
      <c r="O45" s="66">
        <v>209</v>
      </c>
      <c r="P45" s="66" t="s">
        <v>418</v>
      </c>
      <c r="Q45" s="66" t="s">
        <v>378</v>
      </c>
    </row>
    <row r="46" spans="1:17" ht="15">
      <c r="A46" s="66" t="s">
        <v>420</v>
      </c>
      <c r="B46" s="66" t="s">
        <v>271</v>
      </c>
      <c r="C46" s="66" t="s">
        <v>376</v>
      </c>
      <c r="D46" s="66">
        <v>67</v>
      </c>
      <c r="E46" s="66">
        <v>8</v>
      </c>
      <c r="F46" s="66">
        <v>0</v>
      </c>
      <c r="G46" s="66">
        <v>17</v>
      </c>
      <c r="H46" s="66">
        <v>36</v>
      </c>
      <c r="I46" s="66">
        <v>67</v>
      </c>
      <c r="J46" s="66">
        <v>8</v>
      </c>
      <c r="K46" s="66">
        <v>0</v>
      </c>
      <c r="L46" s="66">
        <v>17</v>
      </c>
      <c r="M46" s="66">
        <v>36</v>
      </c>
      <c r="N46" s="66">
        <v>92</v>
      </c>
      <c r="O46" s="66">
        <v>128</v>
      </c>
      <c r="P46" s="66" t="s">
        <v>418</v>
      </c>
      <c r="Q46" s="66" t="s">
        <v>370</v>
      </c>
    </row>
    <row r="47" spans="1:17" ht="15">
      <c r="A47" s="66" t="s">
        <v>421</v>
      </c>
      <c r="B47" s="66" t="s">
        <v>312</v>
      </c>
      <c r="C47" s="66" t="s">
        <v>368</v>
      </c>
      <c r="D47" s="66">
        <v>0</v>
      </c>
      <c r="E47" s="66">
        <v>0</v>
      </c>
      <c r="F47" s="66">
        <v>0</v>
      </c>
      <c r="G47" s="66">
        <v>1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1</v>
      </c>
      <c r="O47" s="66">
        <v>1</v>
      </c>
      <c r="P47" s="66" t="s">
        <v>422</v>
      </c>
      <c r="Q47" s="66" t="s">
        <v>383</v>
      </c>
    </row>
    <row r="48" spans="1:17" ht="15">
      <c r="A48" s="66" t="s">
        <v>423</v>
      </c>
      <c r="B48" s="66" t="s">
        <v>314</v>
      </c>
      <c r="C48" s="66" t="s">
        <v>368</v>
      </c>
      <c r="D48" s="66">
        <v>17</v>
      </c>
      <c r="E48" s="66">
        <v>0</v>
      </c>
      <c r="F48" s="66">
        <v>10</v>
      </c>
      <c r="G48" s="66">
        <v>0</v>
      </c>
      <c r="H48" s="66">
        <v>5</v>
      </c>
      <c r="I48" s="66">
        <v>12</v>
      </c>
      <c r="J48" s="66">
        <v>0</v>
      </c>
      <c r="K48" s="66">
        <v>8</v>
      </c>
      <c r="L48" s="66">
        <v>0</v>
      </c>
      <c r="M48" s="66">
        <v>3</v>
      </c>
      <c r="N48" s="66">
        <v>27</v>
      </c>
      <c r="O48" s="66">
        <v>32</v>
      </c>
      <c r="P48" s="66" t="s">
        <v>422</v>
      </c>
      <c r="Q48" s="66" t="s">
        <v>383</v>
      </c>
    </row>
    <row r="49" spans="1:17" ht="15">
      <c r="A49" s="66" t="s">
        <v>379</v>
      </c>
      <c r="B49" s="66" t="s">
        <v>316</v>
      </c>
      <c r="C49" s="66" t="s">
        <v>368</v>
      </c>
      <c r="D49" s="66">
        <v>137</v>
      </c>
      <c r="E49" s="66">
        <v>2</v>
      </c>
      <c r="F49" s="66">
        <v>146</v>
      </c>
      <c r="G49" s="66">
        <v>5</v>
      </c>
      <c r="H49" s="66">
        <v>22</v>
      </c>
      <c r="I49" s="66">
        <v>73</v>
      </c>
      <c r="J49" s="66">
        <v>0</v>
      </c>
      <c r="K49" s="66">
        <v>66</v>
      </c>
      <c r="L49" s="66">
        <v>3</v>
      </c>
      <c r="M49" s="66">
        <v>13</v>
      </c>
      <c r="N49" s="66">
        <v>290</v>
      </c>
      <c r="O49" s="66">
        <v>312</v>
      </c>
      <c r="P49" s="66" t="s">
        <v>422</v>
      </c>
      <c r="Q49" s="66" t="s">
        <v>383</v>
      </c>
    </row>
    <row r="50" spans="1:17" ht="15">
      <c r="A50" s="66" t="s">
        <v>385</v>
      </c>
      <c r="B50" s="66" t="s">
        <v>333</v>
      </c>
      <c r="C50" s="66" t="s">
        <v>402</v>
      </c>
      <c r="D50" s="66">
        <v>92</v>
      </c>
      <c r="E50" s="66">
        <v>3</v>
      </c>
      <c r="F50" s="66">
        <v>184</v>
      </c>
      <c r="G50" s="66">
        <v>6</v>
      </c>
      <c r="H50" s="66">
        <v>104</v>
      </c>
      <c r="I50" s="66">
        <v>36</v>
      </c>
      <c r="J50" s="66">
        <v>0</v>
      </c>
      <c r="K50" s="66">
        <v>77</v>
      </c>
      <c r="L50" s="66">
        <v>2</v>
      </c>
      <c r="M50" s="66">
        <v>41</v>
      </c>
      <c r="N50" s="66">
        <v>285</v>
      </c>
      <c r="O50" s="66">
        <v>389</v>
      </c>
      <c r="P50" s="66" t="s">
        <v>424</v>
      </c>
      <c r="Q50" s="66" t="s">
        <v>383</v>
      </c>
    </row>
    <row r="51" spans="1:17" ht="15">
      <c r="A51" s="66" t="s">
        <v>390</v>
      </c>
      <c r="B51" s="66" t="s">
        <v>187</v>
      </c>
      <c r="C51" s="66" t="s">
        <v>425</v>
      </c>
      <c r="D51" s="66">
        <v>106</v>
      </c>
      <c r="E51" s="66">
        <v>0</v>
      </c>
      <c r="F51" s="66">
        <v>106</v>
      </c>
      <c r="G51" s="66">
        <v>0</v>
      </c>
      <c r="H51" s="66">
        <v>207</v>
      </c>
      <c r="I51" s="66">
        <v>106</v>
      </c>
      <c r="J51" s="66">
        <v>0</v>
      </c>
      <c r="K51" s="66">
        <v>106</v>
      </c>
      <c r="L51" s="66">
        <v>0</v>
      </c>
      <c r="M51" s="66">
        <v>207</v>
      </c>
      <c r="N51" s="66">
        <v>212</v>
      </c>
      <c r="O51" s="66">
        <v>419</v>
      </c>
      <c r="P51" s="66" t="s">
        <v>426</v>
      </c>
      <c r="Q51" s="66" t="s">
        <v>383</v>
      </c>
    </row>
    <row r="52" spans="1:17" ht="15">
      <c r="A52" s="66" t="s">
        <v>390</v>
      </c>
      <c r="B52" s="66" t="s">
        <v>195</v>
      </c>
      <c r="C52" s="66" t="s">
        <v>425</v>
      </c>
      <c r="D52" s="66">
        <v>186</v>
      </c>
      <c r="E52" s="66">
        <v>12</v>
      </c>
      <c r="F52" s="66">
        <v>0</v>
      </c>
      <c r="G52" s="66">
        <v>14</v>
      </c>
      <c r="H52" s="66">
        <v>55</v>
      </c>
      <c r="I52" s="66">
        <v>186</v>
      </c>
      <c r="J52" s="66">
        <v>12</v>
      </c>
      <c r="K52" s="66">
        <v>0</v>
      </c>
      <c r="L52" s="66">
        <v>14</v>
      </c>
      <c r="M52" s="66">
        <v>55</v>
      </c>
      <c r="N52" s="66">
        <v>212</v>
      </c>
      <c r="O52" s="66">
        <v>267</v>
      </c>
      <c r="P52" s="66" t="s">
        <v>426</v>
      </c>
      <c r="Q52" s="66" t="s">
        <v>370</v>
      </c>
    </row>
    <row r="53" spans="1:17" ht="15">
      <c r="A53" s="66" t="s">
        <v>390</v>
      </c>
      <c r="B53" s="66" t="s">
        <v>201</v>
      </c>
      <c r="C53" s="66" t="s">
        <v>425</v>
      </c>
      <c r="D53" s="66">
        <v>76</v>
      </c>
      <c r="E53" s="66">
        <v>0</v>
      </c>
      <c r="F53" s="66">
        <v>7</v>
      </c>
      <c r="G53" s="66">
        <v>1</v>
      </c>
      <c r="H53" s="66">
        <v>1</v>
      </c>
      <c r="I53" s="66">
        <v>76</v>
      </c>
      <c r="J53" s="66">
        <v>0</v>
      </c>
      <c r="K53" s="66">
        <v>7</v>
      </c>
      <c r="L53" s="66">
        <v>1</v>
      </c>
      <c r="M53" s="66">
        <v>1</v>
      </c>
      <c r="N53" s="66">
        <v>84</v>
      </c>
      <c r="O53" s="66">
        <v>85</v>
      </c>
      <c r="P53" s="66" t="s">
        <v>426</v>
      </c>
      <c r="Q53" s="66" t="s">
        <v>384</v>
      </c>
    </row>
    <row r="54" spans="1:17" ht="15">
      <c r="A54" s="66" t="s">
        <v>390</v>
      </c>
      <c r="B54" s="66" t="s">
        <v>207</v>
      </c>
      <c r="C54" s="66" t="s">
        <v>425</v>
      </c>
      <c r="D54" s="66">
        <v>76</v>
      </c>
      <c r="E54" s="66">
        <v>25</v>
      </c>
      <c r="F54" s="66">
        <v>162</v>
      </c>
      <c r="G54" s="66">
        <v>10</v>
      </c>
      <c r="H54" s="66">
        <v>111</v>
      </c>
      <c r="I54" s="66">
        <v>76</v>
      </c>
      <c r="J54" s="66">
        <v>25</v>
      </c>
      <c r="K54" s="66">
        <v>162</v>
      </c>
      <c r="L54" s="66">
        <v>10</v>
      </c>
      <c r="M54" s="66">
        <v>111</v>
      </c>
      <c r="N54" s="66">
        <v>273</v>
      </c>
      <c r="O54" s="66">
        <v>384</v>
      </c>
      <c r="P54" s="66" t="s">
        <v>426</v>
      </c>
      <c r="Q54" s="66" t="s">
        <v>394</v>
      </c>
    </row>
    <row r="55" spans="1:17" ht="15">
      <c r="A55" s="66" t="s">
        <v>390</v>
      </c>
      <c r="B55" s="66" t="s">
        <v>213</v>
      </c>
      <c r="C55" s="66" t="s">
        <v>425</v>
      </c>
      <c r="D55" s="66">
        <v>29</v>
      </c>
      <c r="E55" s="66">
        <v>12</v>
      </c>
      <c r="F55" s="66">
        <v>0</v>
      </c>
      <c r="G55" s="66">
        <v>29</v>
      </c>
      <c r="H55" s="66">
        <v>21</v>
      </c>
      <c r="I55" s="66">
        <v>29</v>
      </c>
      <c r="J55" s="66">
        <v>12</v>
      </c>
      <c r="K55" s="66">
        <v>0</v>
      </c>
      <c r="L55" s="66">
        <v>29</v>
      </c>
      <c r="M55" s="66">
        <v>21</v>
      </c>
      <c r="N55" s="66">
        <v>70</v>
      </c>
      <c r="O55" s="66">
        <v>91</v>
      </c>
      <c r="P55" s="66" t="s">
        <v>426</v>
      </c>
      <c r="Q55" s="66" t="s">
        <v>427</v>
      </c>
    </row>
    <row r="56" spans="1:17" ht="15">
      <c r="A56" s="66" t="s">
        <v>390</v>
      </c>
      <c r="B56" s="66" t="s">
        <v>215</v>
      </c>
      <c r="C56" s="66" t="s">
        <v>425</v>
      </c>
      <c r="D56" s="66">
        <v>101</v>
      </c>
      <c r="E56" s="66">
        <v>0</v>
      </c>
      <c r="F56" s="66">
        <v>2</v>
      </c>
      <c r="G56" s="66">
        <v>3</v>
      </c>
      <c r="H56" s="66">
        <v>15</v>
      </c>
      <c r="I56" s="66">
        <v>101</v>
      </c>
      <c r="J56" s="66">
        <v>0</v>
      </c>
      <c r="K56" s="66">
        <v>2</v>
      </c>
      <c r="L56" s="66">
        <v>3</v>
      </c>
      <c r="M56" s="66">
        <v>15</v>
      </c>
      <c r="N56" s="66">
        <v>106</v>
      </c>
      <c r="O56" s="66">
        <v>121</v>
      </c>
      <c r="P56" s="66" t="s">
        <v>426</v>
      </c>
      <c r="Q56" s="66" t="s">
        <v>428</v>
      </c>
    </row>
    <row r="57" spans="1:17" ht="15">
      <c r="A57" s="66" t="s">
        <v>395</v>
      </c>
      <c r="B57" s="66" t="s">
        <v>209</v>
      </c>
      <c r="C57" s="66" t="s">
        <v>425</v>
      </c>
      <c r="D57" s="66">
        <v>13</v>
      </c>
      <c r="E57" s="66">
        <v>2</v>
      </c>
      <c r="F57" s="66">
        <v>18</v>
      </c>
      <c r="G57" s="66">
        <v>1</v>
      </c>
      <c r="H57" s="66">
        <v>2</v>
      </c>
      <c r="I57" s="66">
        <v>12</v>
      </c>
      <c r="J57" s="66">
        <v>1</v>
      </c>
      <c r="K57" s="66">
        <v>17</v>
      </c>
      <c r="L57" s="66">
        <v>1</v>
      </c>
      <c r="M57" s="66">
        <v>1</v>
      </c>
      <c r="N57" s="66">
        <v>34</v>
      </c>
      <c r="O57" s="66">
        <v>36</v>
      </c>
      <c r="P57" s="66" t="s">
        <v>426</v>
      </c>
      <c r="Q57" s="66" t="s">
        <v>394</v>
      </c>
    </row>
    <row r="58" spans="1:17" ht="15">
      <c r="A58" s="66" t="s">
        <v>429</v>
      </c>
      <c r="B58" s="66" t="s">
        <v>189</v>
      </c>
      <c r="C58" s="66" t="s">
        <v>425</v>
      </c>
      <c r="D58" s="66">
        <v>118</v>
      </c>
      <c r="E58" s="66">
        <v>1</v>
      </c>
      <c r="F58" s="66">
        <v>195</v>
      </c>
      <c r="G58" s="66">
        <v>4</v>
      </c>
      <c r="H58" s="66">
        <v>157</v>
      </c>
      <c r="I58" s="66">
        <v>118</v>
      </c>
      <c r="J58" s="66">
        <v>1</v>
      </c>
      <c r="K58" s="66">
        <v>195</v>
      </c>
      <c r="L58" s="66">
        <v>4</v>
      </c>
      <c r="M58" s="66">
        <v>157</v>
      </c>
      <c r="N58" s="66">
        <v>318</v>
      </c>
      <c r="O58" s="66">
        <v>475</v>
      </c>
      <c r="P58" s="66" t="s">
        <v>426</v>
      </c>
      <c r="Q58" s="66" t="s">
        <v>383</v>
      </c>
    </row>
    <row r="59" spans="1:17" ht="15">
      <c r="A59" s="66" t="s">
        <v>429</v>
      </c>
      <c r="B59" s="66" t="s">
        <v>197</v>
      </c>
      <c r="C59" s="66" t="s">
        <v>425</v>
      </c>
      <c r="D59" s="66">
        <v>350</v>
      </c>
      <c r="E59" s="66">
        <v>20</v>
      </c>
      <c r="F59" s="66">
        <v>0</v>
      </c>
      <c r="G59" s="66">
        <v>28</v>
      </c>
      <c r="H59" s="66">
        <v>139</v>
      </c>
      <c r="I59" s="66">
        <v>350</v>
      </c>
      <c r="J59" s="66">
        <v>20</v>
      </c>
      <c r="K59" s="66">
        <v>0</v>
      </c>
      <c r="L59" s="66">
        <v>28</v>
      </c>
      <c r="M59" s="66">
        <v>139</v>
      </c>
      <c r="N59" s="66">
        <v>398</v>
      </c>
      <c r="O59" s="66">
        <v>537</v>
      </c>
      <c r="P59" s="66" t="s">
        <v>426</v>
      </c>
      <c r="Q59" s="66" t="s">
        <v>370</v>
      </c>
    </row>
    <row r="60" spans="1:17" ht="15">
      <c r="A60" s="66" t="s">
        <v>429</v>
      </c>
      <c r="B60" s="66" t="s">
        <v>203</v>
      </c>
      <c r="C60" s="66" t="s">
        <v>425</v>
      </c>
      <c r="D60" s="66">
        <v>167</v>
      </c>
      <c r="E60" s="66">
        <v>11</v>
      </c>
      <c r="F60" s="66">
        <v>197</v>
      </c>
      <c r="G60" s="66">
        <v>11</v>
      </c>
      <c r="H60" s="66">
        <v>187</v>
      </c>
      <c r="I60" s="66">
        <v>167</v>
      </c>
      <c r="J60" s="66">
        <v>11</v>
      </c>
      <c r="K60" s="66">
        <v>197</v>
      </c>
      <c r="L60" s="66">
        <v>11</v>
      </c>
      <c r="M60" s="66">
        <v>187</v>
      </c>
      <c r="N60" s="66">
        <v>386</v>
      </c>
      <c r="O60" s="66">
        <v>573</v>
      </c>
      <c r="P60" s="66" t="s">
        <v>426</v>
      </c>
      <c r="Q60" s="66" t="s">
        <v>384</v>
      </c>
    </row>
    <row r="61" spans="1:17" ht="15">
      <c r="A61" s="66" t="s">
        <v>429</v>
      </c>
      <c r="B61" s="66" t="s">
        <v>217</v>
      </c>
      <c r="C61" s="66" t="s">
        <v>425</v>
      </c>
      <c r="D61" s="66">
        <v>98</v>
      </c>
      <c r="E61" s="66">
        <v>1</v>
      </c>
      <c r="F61" s="66">
        <v>1</v>
      </c>
      <c r="G61" s="66">
        <v>13</v>
      </c>
      <c r="H61" s="66">
        <v>49</v>
      </c>
      <c r="I61" s="66">
        <v>98</v>
      </c>
      <c r="J61" s="66">
        <v>1</v>
      </c>
      <c r="K61" s="66">
        <v>1</v>
      </c>
      <c r="L61" s="66">
        <v>13</v>
      </c>
      <c r="M61" s="66">
        <v>49</v>
      </c>
      <c r="N61" s="66">
        <v>113</v>
      </c>
      <c r="O61" s="66">
        <v>162</v>
      </c>
      <c r="P61" s="66" t="s">
        <v>426</v>
      </c>
      <c r="Q61" s="66" t="s">
        <v>428</v>
      </c>
    </row>
    <row r="62" spans="1:17" ht="15">
      <c r="A62" s="66" t="s">
        <v>429</v>
      </c>
      <c r="B62" s="66" t="s">
        <v>221</v>
      </c>
      <c r="C62" s="66" t="s">
        <v>425</v>
      </c>
      <c r="D62" s="66">
        <v>713</v>
      </c>
      <c r="E62" s="66">
        <v>184</v>
      </c>
      <c r="F62" s="66">
        <v>0</v>
      </c>
      <c r="G62" s="66">
        <v>232</v>
      </c>
      <c r="H62" s="66">
        <v>746</v>
      </c>
      <c r="I62" s="66">
        <v>713</v>
      </c>
      <c r="J62" s="66">
        <v>184</v>
      </c>
      <c r="K62" s="66">
        <v>0</v>
      </c>
      <c r="L62" s="66">
        <v>232</v>
      </c>
      <c r="M62" s="66">
        <v>746</v>
      </c>
      <c r="N62" s="66">
        <v>1129</v>
      </c>
      <c r="O62" s="66">
        <v>1875</v>
      </c>
      <c r="P62" s="66" t="s">
        <v>426</v>
      </c>
      <c r="Q62" s="66" t="s">
        <v>419</v>
      </c>
    </row>
    <row r="63" spans="1:17" ht="15">
      <c r="A63" s="66" t="s">
        <v>430</v>
      </c>
      <c r="B63" s="66" t="s">
        <v>193</v>
      </c>
      <c r="C63" s="66" t="s">
        <v>425</v>
      </c>
      <c r="D63" s="66">
        <v>129</v>
      </c>
      <c r="E63" s="66">
        <v>3</v>
      </c>
      <c r="F63" s="66">
        <v>0</v>
      </c>
      <c r="G63" s="66">
        <v>22</v>
      </c>
      <c r="H63" s="66">
        <v>18</v>
      </c>
      <c r="I63" s="66">
        <v>129</v>
      </c>
      <c r="J63" s="66">
        <v>3</v>
      </c>
      <c r="K63" s="66">
        <v>0</v>
      </c>
      <c r="L63" s="66">
        <v>22</v>
      </c>
      <c r="M63" s="66">
        <v>18</v>
      </c>
      <c r="N63" s="66">
        <v>154</v>
      </c>
      <c r="O63" s="66">
        <v>172</v>
      </c>
      <c r="P63" s="66" t="s">
        <v>426</v>
      </c>
      <c r="Q63" s="66" t="s">
        <v>431</v>
      </c>
    </row>
    <row r="64" spans="1:17" ht="15">
      <c r="A64" s="66" t="s">
        <v>430</v>
      </c>
      <c r="B64" s="66" t="s">
        <v>199</v>
      </c>
      <c r="C64" s="66" t="s">
        <v>425</v>
      </c>
      <c r="D64" s="66">
        <v>21</v>
      </c>
      <c r="E64" s="66">
        <v>0</v>
      </c>
      <c r="F64" s="66">
        <v>0</v>
      </c>
      <c r="G64" s="66">
        <v>2</v>
      </c>
      <c r="H64" s="66">
        <v>7</v>
      </c>
      <c r="I64" s="66">
        <v>20</v>
      </c>
      <c r="J64" s="66">
        <v>0</v>
      </c>
      <c r="K64" s="66">
        <v>0</v>
      </c>
      <c r="L64" s="66">
        <v>2</v>
      </c>
      <c r="M64" s="66">
        <v>7</v>
      </c>
      <c r="N64" s="66">
        <v>23</v>
      </c>
      <c r="O64" s="66">
        <v>30</v>
      </c>
      <c r="P64" s="66" t="s">
        <v>426</v>
      </c>
      <c r="Q64" s="66" t="s">
        <v>370</v>
      </c>
    </row>
    <row r="65" spans="1:17" ht="15">
      <c r="A65" s="66" t="s">
        <v>430</v>
      </c>
      <c r="B65" s="66" t="s">
        <v>205</v>
      </c>
      <c r="C65" s="66" t="s">
        <v>425</v>
      </c>
      <c r="D65" s="66">
        <v>202</v>
      </c>
      <c r="E65" s="66">
        <v>16</v>
      </c>
      <c r="F65" s="66">
        <v>446</v>
      </c>
      <c r="G65" s="66">
        <v>26</v>
      </c>
      <c r="H65" s="66">
        <v>56</v>
      </c>
      <c r="I65" s="66">
        <v>202</v>
      </c>
      <c r="J65" s="66">
        <v>16</v>
      </c>
      <c r="K65" s="66">
        <v>446</v>
      </c>
      <c r="L65" s="66">
        <v>26</v>
      </c>
      <c r="M65" s="66">
        <v>56</v>
      </c>
      <c r="N65" s="66">
        <v>690</v>
      </c>
      <c r="O65" s="66">
        <v>746</v>
      </c>
      <c r="P65" s="66" t="s">
        <v>426</v>
      </c>
      <c r="Q65" s="66" t="s">
        <v>384</v>
      </c>
    </row>
    <row r="66" spans="1:17" ht="15">
      <c r="A66" s="66" t="s">
        <v>430</v>
      </c>
      <c r="B66" s="66" t="s">
        <v>211</v>
      </c>
      <c r="C66" s="66" t="s">
        <v>425</v>
      </c>
      <c r="D66" s="66">
        <v>44</v>
      </c>
      <c r="E66" s="66">
        <v>3</v>
      </c>
      <c r="F66" s="66">
        <v>77</v>
      </c>
      <c r="G66" s="66">
        <v>13</v>
      </c>
      <c r="H66" s="66">
        <v>51</v>
      </c>
      <c r="I66" s="66">
        <v>44</v>
      </c>
      <c r="J66" s="66">
        <v>3</v>
      </c>
      <c r="K66" s="66">
        <v>77</v>
      </c>
      <c r="L66" s="66">
        <v>13</v>
      </c>
      <c r="M66" s="66">
        <v>51</v>
      </c>
      <c r="N66" s="66">
        <v>137</v>
      </c>
      <c r="O66" s="66">
        <v>188</v>
      </c>
      <c r="P66" s="66" t="s">
        <v>426</v>
      </c>
      <c r="Q66" s="66" t="s">
        <v>394</v>
      </c>
    </row>
    <row r="67" spans="1:17" ht="15">
      <c r="A67" s="66" t="s">
        <v>430</v>
      </c>
      <c r="B67" s="66" t="s">
        <v>219</v>
      </c>
      <c r="C67" s="66" t="s">
        <v>425</v>
      </c>
      <c r="D67" s="66">
        <v>99</v>
      </c>
      <c r="E67" s="66">
        <v>0</v>
      </c>
      <c r="F67" s="66">
        <v>0</v>
      </c>
      <c r="G67" s="66">
        <v>9</v>
      </c>
      <c r="H67" s="66">
        <v>8</v>
      </c>
      <c r="I67" s="66">
        <v>99</v>
      </c>
      <c r="J67" s="66">
        <v>0</v>
      </c>
      <c r="K67" s="66">
        <v>0</v>
      </c>
      <c r="L67" s="66">
        <v>9</v>
      </c>
      <c r="M67" s="66">
        <v>8</v>
      </c>
      <c r="N67" s="66">
        <v>108</v>
      </c>
      <c r="O67" s="66">
        <v>116</v>
      </c>
      <c r="P67" s="66" t="s">
        <v>426</v>
      </c>
      <c r="Q67" s="66" t="s">
        <v>428</v>
      </c>
    </row>
    <row r="68" spans="1:17" ht="15">
      <c r="A68" s="66" t="s">
        <v>399</v>
      </c>
      <c r="B68" s="66" t="s">
        <v>225</v>
      </c>
      <c r="C68" s="66" t="s">
        <v>432</v>
      </c>
      <c r="D68" s="66">
        <v>56</v>
      </c>
      <c r="E68" s="66">
        <v>3</v>
      </c>
      <c r="F68" s="66">
        <v>13</v>
      </c>
      <c r="G68" s="66">
        <v>2</v>
      </c>
      <c r="H68" s="66">
        <v>1</v>
      </c>
      <c r="I68" s="66">
        <v>56</v>
      </c>
      <c r="J68" s="66">
        <v>3</v>
      </c>
      <c r="K68" s="66">
        <v>13</v>
      </c>
      <c r="L68" s="66">
        <v>2</v>
      </c>
      <c r="M68" s="66">
        <v>1</v>
      </c>
      <c r="N68" s="66">
        <v>74</v>
      </c>
      <c r="O68" s="66">
        <v>75</v>
      </c>
      <c r="P68" s="66" t="s">
        <v>426</v>
      </c>
      <c r="Q68" s="66" t="s">
        <v>433</v>
      </c>
    </row>
    <row r="69" spans="1:17" ht="15">
      <c r="A69" s="66" t="s">
        <v>430</v>
      </c>
      <c r="B69" s="66" t="s">
        <v>223</v>
      </c>
      <c r="C69" s="66" t="s">
        <v>425</v>
      </c>
      <c r="D69" s="66">
        <v>661</v>
      </c>
      <c r="E69" s="66">
        <v>64</v>
      </c>
      <c r="F69" s="66">
        <v>0</v>
      </c>
      <c r="G69" s="66">
        <v>161</v>
      </c>
      <c r="H69" s="66">
        <v>155</v>
      </c>
      <c r="I69" s="66">
        <v>557</v>
      </c>
      <c r="J69" s="66">
        <v>49</v>
      </c>
      <c r="K69" s="66">
        <v>0</v>
      </c>
      <c r="L69" s="66">
        <v>140</v>
      </c>
      <c r="M69" s="66">
        <v>137</v>
      </c>
      <c r="N69" s="66">
        <v>886</v>
      </c>
      <c r="O69" s="66">
        <v>1041</v>
      </c>
      <c r="P69" s="66" t="s">
        <v>426</v>
      </c>
      <c r="Q69" s="66" t="s">
        <v>419</v>
      </c>
    </row>
    <row r="70" spans="1:17" ht="15">
      <c r="A70" s="66" t="s">
        <v>399</v>
      </c>
      <c r="B70" s="66" t="s">
        <v>229</v>
      </c>
      <c r="C70" s="66" t="s">
        <v>432</v>
      </c>
      <c r="D70" s="66">
        <v>665</v>
      </c>
      <c r="E70" s="66">
        <v>2</v>
      </c>
      <c r="F70" s="66">
        <v>172</v>
      </c>
      <c r="G70" s="66">
        <v>0</v>
      </c>
      <c r="H70" s="66">
        <v>0</v>
      </c>
      <c r="I70" s="66">
        <v>665</v>
      </c>
      <c r="J70" s="66">
        <v>2</v>
      </c>
      <c r="K70" s="66">
        <v>172</v>
      </c>
      <c r="L70" s="66">
        <v>0</v>
      </c>
      <c r="M70" s="66">
        <v>0</v>
      </c>
      <c r="N70" s="66">
        <v>839</v>
      </c>
      <c r="O70" s="66">
        <v>839</v>
      </c>
      <c r="P70" s="66" t="s">
        <v>426</v>
      </c>
      <c r="Q70" s="66" t="s">
        <v>434</v>
      </c>
    </row>
    <row r="71" spans="1:17" ht="15">
      <c r="A71" s="66" t="s">
        <v>399</v>
      </c>
      <c r="B71" s="66" t="s">
        <v>231</v>
      </c>
      <c r="C71" s="66" t="s">
        <v>432</v>
      </c>
      <c r="D71" s="66">
        <v>54</v>
      </c>
      <c r="E71" s="66">
        <v>3</v>
      </c>
      <c r="F71" s="66">
        <v>157</v>
      </c>
      <c r="G71" s="66">
        <v>5</v>
      </c>
      <c r="H71" s="66">
        <v>1</v>
      </c>
      <c r="I71" s="66">
        <v>54</v>
      </c>
      <c r="J71" s="66">
        <v>3</v>
      </c>
      <c r="K71" s="66">
        <v>157</v>
      </c>
      <c r="L71" s="66">
        <v>5</v>
      </c>
      <c r="M71" s="66">
        <v>1</v>
      </c>
      <c r="N71" s="66">
        <v>219</v>
      </c>
      <c r="O71" s="66">
        <v>220</v>
      </c>
      <c r="P71" s="66" t="s">
        <v>426</v>
      </c>
      <c r="Q71" s="66" t="s">
        <v>435</v>
      </c>
    </row>
    <row r="72" spans="1:17" ht="15">
      <c r="A72" s="66" t="s">
        <v>399</v>
      </c>
      <c r="B72" s="66" t="s">
        <v>233</v>
      </c>
      <c r="C72" s="66" t="s">
        <v>432</v>
      </c>
      <c r="D72" s="66">
        <v>680</v>
      </c>
      <c r="E72" s="66">
        <v>19</v>
      </c>
      <c r="F72" s="66">
        <v>0</v>
      </c>
      <c r="G72" s="66">
        <v>12</v>
      </c>
      <c r="H72" s="66">
        <v>1</v>
      </c>
      <c r="I72" s="66">
        <v>680</v>
      </c>
      <c r="J72" s="66">
        <v>19</v>
      </c>
      <c r="K72" s="66">
        <v>0</v>
      </c>
      <c r="L72" s="66">
        <v>12</v>
      </c>
      <c r="M72" s="66">
        <v>1</v>
      </c>
      <c r="N72" s="66">
        <v>711</v>
      </c>
      <c r="O72" s="66">
        <v>712</v>
      </c>
      <c r="P72" s="66" t="s">
        <v>426</v>
      </c>
      <c r="Q72" s="66" t="s">
        <v>436</v>
      </c>
    </row>
    <row r="73" spans="1:17" ht="15">
      <c r="A73" s="66" t="s">
        <v>399</v>
      </c>
      <c r="B73" s="66" t="s">
        <v>235</v>
      </c>
      <c r="C73" s="66" t="s">
        <v>432</v>
      </c>
      <c r="D73" s="66">
        <v>178</v>
      </c>
      <c r="E73" s="66">
        <v>1</v>
      </c>
      <c r="F73" s="66">
        <v>23</v>
      </c>
      <c r="G73" s="66">
        <v>2</v>
      </c>
      <c r="H73" s="66">
        <v>0</v>
      </c>
      <c r="I73" s="66">
        <v>178</v>
      </c>
      <c r="J73" s="66">
        <v>1</v>
      </c>
      <c r="K73" s="66">
        <v>23</v>
      </c>
      <c r="L73" s="66">
        <v>2</v>
      </c>
      <c r="M73" s="66">
        <v>0</v>
      </c>
      <c r="N73" s="66">
        <v>204</v>
      </c>
      <c r="O73" s="66">
        <v>204</v>
      </c>
      <c r="P73" s="66" t="s">
        <v>426</v>
      </c>
      <c r="Q73" s="66" t="s">
        <v>397</v>
      </c>
    </row>
    <row r="74" spans="1:17" ht="15">
      <c r="A74" s="66" t="s">
        <v>437</v>
      </c>
      <c r="B74" s="66" t="s">
        <v>247</v>
      </c>
      <c r="C74" s="66" t="s">
        <v>376</v>
      </c>
      <c r="D74" s="66">
        <v>792</v>
      </c>
      <c r="E74" s="66">
        <v>10</v>
      </c>
      <c r="F74" s="66">
        <v>1155</v>
      </c>
      <c r="G74" s="66">
        <v>48</v>
      </c>
      <c r="H74" s="66">
        <v>156</v>
      </c>
      <c r="I74" s="66">
        <v>324</v>
      </c>
      <c r="J74" s="66">
        <v>1</v>
      </c>
      <c r="K74" s="66">
        <v>332</v>
      </c>
      <c r="L74" s="66">
        <v>11</v>
      </c>
      <c r="M74" s="66">
        <v>37</v>
      </c>
      <c r="N74" s="66">
        <v>2005</v>
      </c>
      <c r="O74" s="66">
        <v>2161</v>
      </c>
      <c r="P74" s="66" t="s">
        <v>426</v>
      </c>
      <c r="Q74" s="66" t="s">
        <v>438</v>
      </c>
    </row>
    <row r="75" spans="1:17" ht="15">
      <c r="A75" s="66" t="s">
        <v>439</v>
      </c>
      <c r="B75" s="66" t="s">
        <v>227</v>
      </c>
      <c r="C75" s="66" t="s">
        <v>432</v>
      </c>
      <c r="D75" s="66">
        <v>141</v>
      </c>
      <c r="E75" s="66">
        <v>2</v>
      </c>
      <c r="F75" s="66">
        <v>18</v>
      </c>
      <c r="G75" s="66">
        <v>2</v>
      </c>
      <c r="H75" s="66">
        <v>2</v>
      </c>
      <c r="I75" s="66">
        <v>141</v>
      </c>
      <c r="J75" s="66">
        <v>2</v>
      </c>
      <c r="K75" s="66">
        <v>18</v>
      </c>
      <c r="L75" s="66">
        <v>2</v>
      </c>
      <c r="M75" s="66">
        <v>2</v>
      </c>
      <c r="N75" s="66">
        <v>163</v>
      </c>
      <c r="O75" s="66">
        <v>165</v>
      </c>
      <c r="P75" s="66" t="s">
        <v>426</v>
      </c>
      <c r="Q75" s="66" t="s">
        <v>433</v>
      </c>
    </row>
    <row r="76" spans="1:17" ht="15">
      <c r="A76" s="66" t="s">
        <v>440</v>
      </c>
      <c r="B76" s="66" t="s">
        <v>191</v>
      </c>
      <c r="C76" s="66" t="s">
        <v>425</v>
      </c>
      <c r="D76" s="66">
        <v>264</v>
      </c>
      <c r="E76" s="66">
        <v>5</v>
      </c>
      <c r="F76" s="66">
        <v>406</v>
      </c>
      <c r="G76" s="66">
        <v>11</v>
      </c>
      <c r="H76" s="66">
        <v>286</v>
      </c>
      <c r="I76" s="66">
        <v>264</v>
      </c>
      <c r="J76" s="66">
        <v>5</v>
      </c>
      <c r="K76" s="66">
        <v>406</v>
      </c>
      <c r="L76" s="66">
        <v>11</v>
      </c>
      <c r="M76" s="66">
        <v>286</v>
      </c>
      <c r="N76" s="66">
        <v>686</v>
      </c>
      <c r="O76" s="66">
        <v>972</v>
      </c>
      <c r="P76" s="66" t="s">
        <v>426</v>
      </c>
      <c r="Q76" s="66" t="s">
        <v>438</v>
      </c>
    </row>
    <row r="77" spans="1:17" ht="15">
      <c r="A77" s="66" t="s">
        <v>379</v>
      </c>
      <c r="B77" s="66" t="s">
        <v>267</v>
      </c>
      <c r="C77" s="66" t="s">
        <v>376</v>
      </c>
      <c r="D77" s="66">
        <v>2</v>
      </c>
      <c r="E77" s="66">
        <v>1</v>
      </c>
      <c r="F77" s="66">
        <v>13</v>
      </c>
      <c r="G77" s="66">
        <v>0</v>
      </c>
      <c r="H77" s="66">
        <v>9</v>
      </c>
      <c r="I77" s="66">
        <v>2</v>
      </c>
      <c r="J77" s="66">
        <v>1</v>
      </c>
      <c r="K77" s="66">
        <v>12</v>
      </c>
      <c r="L77" s="66">
        <v>0</v>
      </c>
      <c r="M77" s="66">
        <v>5</v>
      </c>
      <c r="N77" s="66">
        <v>16</v>
      </c>
      <c r="O77" s="66">
        <v>25</v>
      </c>
      <c r="P77" s="66" t="s">
        <v>441</v>
      </c>
      <c r="Q77" s="66" t="s">
        <v>383</v>
      </c>
    </row>
    <row r="78" spans="1:17" ht="15">
      <c r="A78" s="66" t="s">
        <v>442</v>
      </c>
      <c r="B78" s="66" t="s">
        <v>345</v>
      </c>
      <c r="C78" s="66" t="s">
        <v>443</v>
      </c>
      <c r="D78" s="66">
        <v>0</v>
      </c>
      <c r="E78" s="66">
        <v>2</v>
      </c>
      <c r="F78" s="66">
        <v>26</v>
      </c>
      <c r="G78" s="66">
        <v>2</v>
      </c>
      <c r="H78" s="66">
        <v>7</v>
      </c>
      <c r="I78" s="66">
        <v>0</v>
      </c>
      <c r="J78" s="66">
        <v>2</v>
      </c>
      <c r="K78" s="66">
        <v>25</v>
      </c>
      <c r="L78" s="66">
        <v>2</v>
      </c>
      <c r="M78" s="66">
        <v>6</v>
      </c>
      <c r="N78" s="66">
        <v>30</v>
      </c>
      <c r="O78" s="66">
        <v>37</v>
      </c>
      <c r="P78" s="66" t="s">
        <v>444</v>
      </c>
      <c r="Q78" s="66" t="s">
        <v>394</v>
      </c>
    </row>
    <row r="79" spans="1:17" ht="15">
      <c r="A79" s="66" t="s">
        <v>445</v>
      </c>
      <c r="B79" s="66" t="s">
        <v>347</v>
      </c>
      <c r="C79" s="66" t="s">
        <v>443</v>
      </c>
      <c r="D79" s="66">
        <v>15</v>
      </c>
      <c r="E79" s="66">
        <v>6</v>
      </c>
      <c r="F79" s="66">
        <v>89</v>
      </c>
      <c r="G79" s="66">
        <v>10</v>
      </c>
      <c r="H79" s="66">
        <v>16</v>
      </c>
      <c r="I79" s="66">
        <v>15</v>
      </c>
      <c r="J79" s="66">
        <v>6</v>
      </c>
      <c r="K79" s="66">
        <v>86</v>
      </c>
      <c r="L79" s="66">
        <v>9</v>
      </c>
      <c r="M79" s="66">
        <v>15</v>
      </c>
      <c r="N79" s="66">
        <v>120</v>
      </c>
      <c r="O79" s="66">
        <v>136</v>
      </c>
      <c r="P79" s="66" t="s">
        <v>444</v>
      </c>
      <c r="Q79" s="66" t="s">
        <v>394</v>
      </c>
    </row>
    <row r="80" spans="1:17" ht="15">
      <c r="A80" s="66" t="s">
        <v>385</v>
      </c>
      <c r="B80" s="66" t="s">
        <v>329</v>
      </c>
      <c r="C80" s="66" t="s">
        <v>402</v>
      </c>
      <c r="D80" s="66">
        <v>8</v>
      </c>
      <c r="E80" s="66">
        <v>1</v>
      </c>
      <c r="F80" s="66">
        <v>21</v>
      </c>
      <c r="G80" s="66">
        <v>2</v>
      </c>
      <c r="H80" s="66">
        <v>51</v>
      </c>
      <c r="I80" s="66">
        <v>8</v>
      </c>
      <c r="J80" s="66">
        <v>1</v>
      </c>
      <c r="K80" s="66">
        <v>21</v>
      </c>
      <c r="L80" s="66">
        <v>2</v>
      </c>
      <c r="M80" s="66">
        <v>50</v>
      </c>
      <c r="N80" s="66">
        <v>32</v>
      </c>
      <c r="O80" s="66">
        <v>83</v>
      </c>
      <c r="P80" s="66" t="s">
        <v>446</v>
      </c>
      <c r="Q80" s="66" t="s">
        <v>383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4" topLeftCell="A99" activePane="bottomLeft" state="frozen"/>
      <selection pane="topLeft" activeCell="A1" sqref="A1"/>
      <selection pane="bottomLeft" activeCell="A114" sqref="A114:A115"/>
    </sheetView>
  </sheetViews>
  <sheetFormatPr defaultColWidth="9.140625" defaultRowHeight="15"/>
  <cols>
    <col min="1" max="1" width="29.57421875" style="2" customWidth="1"/>
    <col min="2" max="2" width="9.140625" style="2" hidden="1" customWidth="1"/>
    <col min="3" max="3" width="7.7109375" style="5" customWidth="1"/>
    <col min="4" max="4" width="9.57421875" style="5" bestFit="1" customWidth="1"/>
    <col min="5" max="5" width="7.7109375" style="5" customWidth="1"/>
    <col min="6" max="6" width="9.57421875" style="5" bestFit="1" customWidth="1"/>
    <col min="7" max="7" width="8.7109375" style="5" bestFit="1" customWidth="1"/>
    <col min="8" max="8" width="9.00390625" style="5" bestFit="1" customWidth="1"/>
    <col min="9" max="9" width="7.7109375" style="5" customWidth="1"/>
    <col min="10" max="10" width="9.57421875" style="5" bestFit="1" customWidth="1"/>
    <col min="11" max="11" width="8.00390625" style="5" customWidth="1"/>
    <col min="12" max="12" width="9.57421875" style="5" bestFit="1" customWidth="1"/>
    <col min="13" max="13" width="8.7109375" style="5" bestFit="1" customWidth="1"/>
    <col min="14" max="14" width="9.00390625" style="5" bestFit="1" customWidth="1"/>
    <col min="15" max="16" width="7.57421875" style="5" bestFit="1" customWidth="1"/>
    <col min="17" max="16384" width="9.140625" style="11" customWidth="1"/>
  </cols>
  <sheetData>
    <row r="1" ht="19.5">
      <c r="A1" s="12" t="str">
        <f>"TABLE 3-2. "&amp;TEXT(Sundry!B2,"0000")&amp;" Year-end Distribution of Permit Holders by Permit Type and Resident Type*"</f>
        <v>TABLE 3-2. 2010 Year-end Distribution of Permit Holders by Permit Type and Resident Type*</v>
      </c>
    </row>
    <row r="3" spans="1:16" ht="15">
      <c r="A3" s="166" t="s">
        <v>175</v>
      </c>
      <c r="B3" s="6"/>
      <c r="C3" s="163" t="s">
        <v>447</v>
      </c>
      <c r="D3" s="164"/>
      <c r="E3" s="164"/>
      <c r="F3" s="164"/>
      <c r="G3" s="164"/>
      <c r="H3" s="165"/>
      <c r="I3" s="163" t="s">
        <v>448</v>
      </c>
      <c r="J3" s="164"/>
      <c r="K3" s="164"/>
      <c r="L3" s="164"/>
      <c r="M3" s="164"/>
      <c r="N3" s="165"/>
      <c r="O3" s="163" t="s">
        <v>178</v>
      </c>
      <c r="P3" s="165"/>
    </row>
    <row r="4" spans="1:16" ht="45">
      <c r="A4" s="166"/>
      <c r="B4" s="6"/>
      <c r="C4" s="13" t="s">
        <v>179</v>
      </c>
      <c r="D4" s="13" t="s">
        <v>180</v>
      </c>
      <c r="E4" s="13" t="s">
        <v>181</v>
      </c>
      <c r="F4" s="13" t="s">
        <v>182</v>
      </c>
      <c r="G4" s="13" t="s">
        <v>183</v>
      </c>
      <c r="H4" s="13" t="s">
        <v>449</v>
      </c>
      <c r="I4" s="13" t="str">
        <f aca="true" t="shared" si="0" ref="I4:N4">C4</f>
        <v>Alaska Rural Local</v>
      </c>
      <c r="J4" s="13" t="str">
        <f t="shared" si="0"/>
        <v>Alaska Rural Nonlocal</v>
      </c>
      <c r="K4" s="13" t="str">
        <f t="shared" si="0"/>
        <v>Alaska Urban Local</v>
      </c>
      <c r="L4" s="13" t="str">
        <f t="shared" si="0"/>
        <v>Alaska Urban Nonlocal</v>
      </c>
      <c r="M4" s="13" t="str">
        <f t="shared" si="0"/>
        <v>Non-
resident</v>
      </c>
      <c r="N4" s="13" t="str">
        <f t="shared" si="0"/>
        <v>DCCED
/CFAB</v>
      </c>
      <c r="O4" s="14" t="s">
        <v>184</v>
      </c>
      <c r="P4" s="14" t="s">
        <v>185</v>
      </c>
    </row>
    <row r="5" spans="3:16" ht="15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>
      <c r="A6" s="3">
        <v>1975</v>
      </c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>
      <c r="A7" s="4" t="s">
        <v>186</v>
      </c>
      <c r="B7" s="4" t="s">
        <v>187</v>
      </c>
      <c r="C7" s="16">
        <f>VLOOKUP(B7,Table2data!$B:$O,2,FALSE)</f>
        <v>38</v>
      </c>
      <c r="D7" s="16">
        <f>VLOOKUP(B7,Table2data!$B:$O,3,FALSE)</f>
        <v>8</v>
      </c>
      <c r="E7" s="16">
        <f>VLOOKUP(B7,Table2data!$B:$O,4,FALSE)</f>
        <v>138</v>
      </c>
      <c r="F7" s="16">
        <f>VLOOKUP(B7,Table2data!$B:$O,5,FALSE)</f>
        <v>8</v>
      </c>
      <c r="G7" s="16">
        <f>VLOOKUP(B7,Table2data!$B:$O,6,FALSE)</f>
        <v>187</v>
      </c>
      <c r="H7" s="16">
        <f>VLOOKUP(B7,Table2data!$B:$O,7,FALSE)</f>
        <v>0</v>
      </c>
      <c r="I7" s="15">
        <f>VLOOKUP(B7,Table2data!$B:$O,8,FALSE)</f>
        <v>38</v>
      </c>
      <c r="J7" s="16">
        <f>VLOOKUP(B7,Table2data!$B:$O,9,FALSE)</f>
        <v>8</v>
      </c>
      <c r="K7" s="16">
        <f>VLOOKUP(B7,Table2data!$B:$O,10,FALSE)</f>
        <v>138</v>
      </c>
      <c r="L7" s="16">
        <f>VLOOKUP(B7,Table2data!$B:$O,11,FALSE)</f>
        <v>8</v>
      </c>
      <c r="M7" s="16">
        <f>VLOOKUP(B7,Table2data!$B:$O,12,FALSE)</f>
        <v>187</v>
      </c>
      <c r="N7" s="17">
        <f>VLOOKUP(B7,Table2data!$B:$O,7,FALSE)</f>
        <v>0</v>
      </c>
      <c r="O7" s="16">
        <f>VLOOKUP(B7,Table2data!$B:$O,13,FALSE)</f>
        <v>192</v>
      </c>
      <c r="P7" s="16">
        <f>VLOOKUP(B7,Table2data!$B:$O,14,FALSE)</f>
        <v>379</v>
      </c>
    </row>
    <row r="8" spans="1:16" ht="15">
      <c r="A8" s="4" t="s">
        <v>188</v>
      </c>
      <c r="B8" s="4" t="s">
        <v>189</v>
      </c>
      <c r="C8" s="16">
        <f>VLOOKUP(B8,Table2data!$B:$O,2,FALSE)</f>
        <v>135</v>
      </c>
      <c r="D8" s="16">
        <f>VLOOKUP(B8,Table2data!$B:$O,3,FALSE)</f>
        <v>3</v>
      </c>
      <c r="E8" s="16">
        <f>VLOOKUP(B8,Table2data!$B:$O,4,FALSE)</f>
        <v>222</v>
      </c>
      <c r="F8" s="16">
        <f>VLOOKUP(B8,Table2data!$B:$O,5,FALSE)</f>
        <v>7</v>
      </c>
      <c r="G8" s="16">
        <f>VLOOKUP(B8,Table2data!$B:$O,6,FALSE)</f>
        <v>106</v>
      </c>
      <c r="H8" s="16">
        <f>VLOOKUP(B8,Table2data!$B:$O,7,FALSE)</f>
        <v>0</v>
      </c>
      <c r="I8" s="15">
        <f>VLOOKUP(B8,Table2data!$B:$O,8,FALSE)</f>
        <v>135</v>
      </c>
      <c r="J8" s="16">
        <f>VLOOKUP(B8,Table2data!$B:$O,9,FALSE)</f>
        <v>3</v>
      </c>
      <c r="K8" s="16">
        <f>VLOOKUP(B8,Table2data!$B:$O,10,FALSE)</f>
        <v>222</v>
      </c>
      <c r="L8" s="16">
        <f>VLOOKUP(B8,Table2data!$B:$O,11,FALSE)</f>
        <v>7</v>
      </c>
      <c r="M8" s="16">
        <f>VLOOKUP(B8,Table2data!$B:$O,12,FALSE)</f>
        <v>106</v>
      </c>
      <c r="N8" s="17">
        <f>VLOOKUP(B8,Table2data!$B:$O,7,FALSE)</f>
        <v>0</v>
      </c>
      <c r="O8" s="16">
        <f>VLOOKUP(B8,Table2data!$B:$O,13,FALSE)</f>
        <v>367</v>
      </c>
      <c r="P8" s="16">
        <f>VLOOKUP(B8,Table2data!$B:$O,14,FALSE)</f>
        <v>473</v>
      </c>
    </row>
    <row r="9" spans="1:16" ht="15">
      <c r="A9" s="4" t="s">
        <v>190</v>
      </c>
      <c r="B9" s="4" t="s">
        <v>191</v>
      </c>
      <c r="C9" s="16">
        <f>VLOOKUP(B9,Table2data!$B:$O,2,FALSE)</f>
        <v>266</v>
      </c>
      <c r="D9" s="16">
        <f>VLOOKUP(B9,Table2data!$B:$O,3,FALSE)</f>
        <v>9</v>
      </c>
      <c r="E9" s="16">
        <f>VLOOKUP(B9,Table2data!$B:$O,4,FALSE)</f>
        <v>493</v>
      </c>
      <c r="F9" s="16">
        <f>VLOOKUP(B9,Table2data!$B:$O,5,FALSE)</f>
        <v>12</v>
      </c>
      <c r="G9" s="16">
        <f>VLOOKUP(B9,Table2data!$B:$O,6,FALSE)</f>
        <v>182</v>
      </c>
      <c r="H9" s="16">
        <f>VLOOKUP(B9,Table2data!$B:$O,7,FALSE)</f>
        <v>0</v>
      </c>
      <c r="I9" s="15">
        <f>VLOOKUP(B9,Table2data!$B:$O,8,FALSE)</f>
        <v>266</v>
      </c>
      <c r="J9" s="16">
        <f>VLOOKUP(B9,Table2data!$B:$O,9,FALSE)</f>
        <v>9</v>
      </c>
      <c r="K9" s="16">
        <f>VLOOKUP(B9,Table2data!$B:$O,10,FALSE)</f>
        <v>493</v>
      </c>
      <c r="L9" s="16">
        <f>VLOOKUP(B9,Table2data!$B:$O,11,FALSE)</f>
        <v>12</v>
      </c>
      <c r="M9" s="16">
        <f>VLOOKUP(B9,Table2data!$B:$O,12,FALSE)</f>
        <v>182</v>
      </c>
      <c r="N9" s="17">
        <f>VLOOKUP(B9,Table2data!$B:$O,7,FALSE)</f>
        <v>0</v>
      </c>
      <c r="O9" s="16">
        <f>VLOOKUP(B9,Table2data!$B:$O,13,FALSE)</f>
        <v>780</v>
      </c>
      <c r="P9" s="16">
        <f>VLOOKUP(B9,Table2data!$B:$O,14,FALSE)</f>
        <v>962</v>
      </c>
    </row>
    <row r="10" spans="1:16" ht="15">
      <c r="A10" s="7" t="s">
        <v>192</v>
      </c>
      <c r="B10" s="7" t="s">
        <v>193</v>
      </c>
      <c r="C10" s="19">
        <f>VLOOKUP(B10,Table2data!$B:$O,2,FALSE)</f>
        <v>102</v>
      </c>
      <c r="D10" s="19">
        <f>VLOOKUP(B10,Table2data!$B:$O,3,FALSE)</f>
        <v>10</v>
      </c>
      <c r="E10" s="19">
        <f>VLOOKUP(B10,Table2data!$B:$O,4,FALSE)</f>
        <v>0</v>
      </c>
      <c r="F10" s="19">
        <f>VLOOKUP(B10,Table2data!$B:$O,5,FALSE)</f>
        <v>20</v>
      </c>
      <c r="G10" s="19">
        <f>VLOOKUP(B10,Table2data!$B:$O,6,FALSE)</f>
        <v>35</v>
      </c>
      <c r="H10" s="19">
        <f>VLOOKUP(B10,Table2data!$B:$O,7,FALSE)</f>
        <v>0</v>
      </c>
      <c r="I10" s="18">
        <f>VLOOKUP(B10,Table2data!$B:$O,8,FALSE)</f>
        <v>102</v>
      </c>
      <c r="J10" s="19">
        <f>VLOOKUP(B10,Table2data!$B:$O,9,FALSE)</f>
        <v>10</v>
      </c>
      <c r="K10" s="19">
        <f>VLOOKUP(B10,Table2data!$B:$O,10,FALSE)</f>
        <v>0</v>
      </c>
      <c r="L10" s="19">
        <f>VLOOKUP(B10,Table2data!$B:$O,11,FALSE)</f>
        <v>20</v>
      </c>
      <c r="M10" s="19">
        <f>VLOOKUP(B10,Table2data!$B:$O,12,FALSE)</f>
        <v>35</v>
      </c>
      <c r="N10" s="20">
        <f>VLOOKUP(B10,Table2data!$B:$O,7,FALSE)</f>
        <v>0</v>
      </c>
      <c r="O10" s="19">
        <f>VLOOKUP(B10,Table2data!$B:$O,13,FALSE)</f>
        <v>132</v>
      </c>
      <c r="P10" s="19">
        <f>VLOOKUP(B10,Table2data!$B:$O,14,FALSE)</f>
        <v>167</v>
      </c>
    </row>
    <row r="11" spans="1:16" ht="15">
      <c r="A11" s="7" t="s">
        <v>194</v>
      </c>
      <c r="B11" s="7" t="s">
        <v>195</v>
      </c>
      <c r="C11" s="19">
        <f>VLOOKUP(B11,Table2data!$B:$O,2,FALSE)</f>
        <v>98</v>
      </c>
      <c r="D11" s="19">
        <f>VLOOKUP(B11,Table2data!$B:$O,3,FALSE)</f>
        <v>58</v>
      </c>
      <c r="E11" s="19">
        <f>VLOOKUP(B11,Table2data!$B:$O,4,FALSE)</f>
        <v>0</v>
      </c>
      <c r="F11" s="19">
        <f>VLOOKUP(B11,Table2data!$B:$O,5,FALSE)</f>
        <v>38</v>
      </c>
      <c r="G11" s="19">
        <f>VLOOKUP(B11,Table2data!$B:$O,6,FALSE)</f>
        <v>73</v>
      </c>
      <c r="H11" s="19">
        <f>VLOOKUP(B11,Table2data!$B:$O,7,FALSE)</f>
        <v>0</v>
      </c>
      <c r="I11" s="18">
        <f>VLOOKUP(B11,Table2data!$B:$O,8,FALSE)</f>
        <v>98</v>
      </c>
      <c r="J11" s="19">
        <f>VLOOKUP(B11,Table2data!$B:$O,9,FALSE)</f>
        <v>58</v>
      </c>
      <c r="K11" s="19">
        <f>VLOOKUP(B11,Table2data!$B:$O,10,FALSE)</f>
        <v>0</v>
      </c>
      <c r="L11" s="19">
        <f>VLOOKUP(B11,Table2data!$B:$O,11,FALSE)</f>
        <v>38</v>
      </c>
      <c r="M11" s="19">
        <f>VLOOKUP(B11,Table2data!$B:$O,12,FALSE)</f>
        <v>73</v>
      </c>
      <c r="N11" s="20">
        <f>VLOOKUP(B11,Table2data!$B:$O,7,FALSE)</f>
        <v>0</v>
      </c>
      <c r="O11" s="19">
        <f>VLOOKUP(B11,Table2data!$B:$O,13,FALSE)</f>
        <v>194</v>
      </c>
      <c r="P11" s="19">
        <f>VLOOKUP(B11,Table2data!$B:$O,14,FALSE)</f>
        <v>267</v>
      </c>
    </row>
    <row r="12" spans="1:16" ht="15">
      <c r="A12" s="7" t="s">
        <v>196</v>
      </c>
      <c r="B12" s="7" t="s">
        <v>197</v>
      </c>
      <c r="C12" s="19">
        <f>VLOOKUP(B12,Table2data!$B:$O,2,FALSE)</f>
        <v>244</v>
      </c>
      <c r="D12" s="19">
        <f>VLOOKUP(B12,Table2data!$B:$O,3,FALSE)</f>
        <v>93</v>
      </c>
      <c r="E12" s="19">
        <f>VLOOKUP(B12,Table2data!$B:$O,4,FALSE)</f>
        <v>0</v>
      </c>
      <c r="F12" s="19">
        <f>VLOOKUP(B12,Table2data!$B:$O,5,FALSE)</f>
        <v>78</v>
      </c>
      <c r="G12" s="19">
        <f>VLOOKUP(B12,Table2data!$B:$O,6,FALSE)</f>
        <v>121</v>
      </c>
      <c r="H12" s="19">
        <f>VLOOKUP(B12,Table2data!$B:$O,7,FALSE)</f>
        <v>1</v>
      </c>
      <c r="I12" s="18">
        <f>VLOOKUP(B12,Table2data!$B:$O,8,FALSE)</f>
        <v>244</v>
      </c>
      <c r="J12" s="19">
        <f>VLOOKUP(B12,Table2data!$B:$O,9,FALSE)</f>
        <v>93</v>
      </c>
      <c r="K12" s="19">
        <f>VLOOKUP(B12,Table2data!$B:$O,10,FALSE)</f>
        <v>0</v>
      </c>
      <c r="L12" s="19">
        <f>VLOOKUP(B12,Table2data!$B:$O,11,FALSE)</f>
        <v>78</v>
      </c>
      <c r="M12" s="19">
        <f>VLOOKUP(B12,Table2data!$B:$O,12,FALSE)</f>
        <v>121</v>
      </c>
      <c r="N12" s="20">
        <f>VLOOKUP(B12,Table2data!$B:$O,7,FALSE)</f>
        <v>1</v>
      </c>
      <c r="O12" s="19">
        <f>VLOOKUP(B12,Table2data!$B:$O,13,FALSE)</f>
        <v>416</v>
      </c>
      <c r="P12" s="19">
        <f>VLOOKUP(B12,Table2data!$B:$O,14,FALSE)</f>
        <v>537</v>
      </c>
    </row>
    <row r="13" spans="1:16" ht="15">
      <c r="A13" s="7" t="s">
        <v>198</v>
      </c>
      <c r="B13" s="7" t="s">
        <v>199</v>
      </c>
      <c r="C13" s="19">
        <f>VLOOKUP(B13,Table2data!$B:$O,2,FALSE)</f>
        <v>5</v>
      </c>
      <c r="D13" s="19">
        <f>VLOOKUP(B13,Table2data!$B:$O,3,FALSE)</f>
        <v>3</v>
      </c>
      <c r="E13" s="19">
        <f>VLOOKUP(B13,Table2data!$B:$O,4,FALSE)</f>
        <v>0</v>
      </c>
      <c r="F13" s="19">
        <f>VLOOKUP(B13,Table2data!$B:$O,5,FALSE)</f>
        <v>16</v>
      </c>
      <c r="G13" s="19">
        <f>VLOOKUP(B13,Table2data!$B:$O,6,FALSE)</f>
        <v>5</v>
      </c>
      <c r="H13" s="19">
        <f>VLOOKUP(B13,Table2data!$B:$O,7,FALSE)</f>
        <v>0</v>
      </c>
      <c r="I13" s="18">
        <f>VLOOKUP(B13,Table2data!$B:$O,8,FALSE)</f>
        <v>5</v>
      </c>
      <c r="J13" s="19">
        <f>VLOOKUP(B13,Table2data!$B:$O,9,FALSE)</f>
        <v>3</v>
      </c>
      <c r="K13" s="19">
        <f>VLOOKUP(B13,Table2data!$B:$O,10,FALSE)</f>
        <v>0</v>
      </c>
      <c r="L13" s="19">
        <f>VLOOKUP(B13,Table2data!$B:$O,11,FALSE)</f>
        <v>15</v>
      </c>
      <c r="M13" s="19">
        <f>VLOOKUP(B13,Table2data!$B:$O,12,FALSE)</f>
        <v>5</v>
      </c>
      <c r="N13" s="20">
        <f>VLOOKUP(B13,Table2data!$B:$O,7,FALSE)</f>
        <v>0</v>
      </c>
      <c r="O13" s="19">
        <f>VLOOKUP(B13,Table2data!$B:$O,13,FALSE)</f>
        <v>24</v>
      </c>
      <c r="P13" s="19">
        <f>VLOOKUP(B13,Table2data!$B:$O,14,FALSE)</f>
        <v>29</v>
      </c>
    </row>
    <row r="14" spans="1:16" ht="15">
      <c r="A14" s="7" t="s">
        <v>200</v>
      </c>
      <c r="B14" s="7" t="s">
        <v>201</v>
      </c>
      <c r="C14" s="19">
        <f>VLOOKUP(B14,Table2data!$B:$O,2,FALSE)</f>
        <v>63</v>
      </c>
      <c r="D14" s="19">
        <f>VLOOKUP(B14,Table2data!$B:$O,3,FALSE)</f>
        <v>0</v>
      </c>
      <c r="E14" s="19">
        <f>VLOOKUP(B14,Table2data!$B:$O,4,FALSE)</f>
        <v>11</v>
      </c>
      <c r="F14" s="19">
        <f>VLOOKUP(B14,Table2data!$B:$O,5,FALSE)</f>
        <v>1</v>
      </c>
      <c r="G14" s="19">
        <f>VLOOKUP(B14,Table2data!$B:$O,6,FALSE)</f>
        <v>7</v>
      </c>
      <c r="H14" s="19">
        <f>VLOOKUP(B14,Table2data!$B:$O,7,FALSE)</f>
        <v>0</v>
      </c>
      <c r="I14" s="18">
        <f>VLOOKUP(B14,Table2data!$B:$O,8,FALSE)</f>
        <v>63</v>
      </c>
      <c r="J14" s="19">
        <f>VLOOKUP(B14,Table2data!$B:$O,9,FALSE)</f>
        <v>0</v>
      </c>
      <c r="K14" s="19">
        <f>VLOOKUP(B14,Table2data!$B:$O,10,FALSE)</f>
        <v>11</v>
      </c>
      <c r="L14" s="19">
        <f>VLOOKUP(B14,Table2data!$B:$O,11,FALSE)</f>
        <v>1</v>
      </c>
      <c r="M14" s="19">
        <f>VLOOKUP(B14,Table2data!$B:$O,12,FALSE)</f>
        <v>7</v>
      </c>
      <c r="N14" s="20">
        <f>VLOOKUP(B14,Table2data!$B:$O,7,FALSE)</f>
        <v>0</v>
      </c>
      <c r="O14" s="19">
        <f>VLOOKUP(B14,Table2data!$B:$O,13,FALSE)</f>
        <v>75</v>
      </c>
      <c r="P14" s="19">
        <f>VLOOKUP(B14,Table2data!$B:$O,14,FALSE)</f>
        <v>82</v>
      </c>
    </row>
    <row r="15" spans="1:16" ht="15">
      <c r="A15" s="7" t="s">
        <v>202</v>
      </c>
      <c r="B15" s="7" t="s">
        <v>203</v>
      </c>
      <c r="C15" s="19">
        <f>VLOOKUP(B15,Table2data!$B:$O,2,FALSE)</f>
        <v>233</v>
      </c>
      <c r="D15" s="19">
        <f>VLOOKUP(B15,Table2data!$B:$O,3,FALSE)</f>
        <v>11</v>
      </c>
      <c r="E15" s="19">
        <f>VLOOKUP(B15,Table2data!$B:$O,4,FALSE)</f>
        <v>153</v>
      </c>
      <c r="F15" s="19">
        <f>VLOOKUP(B15,Table2data!$B:$O,5,FALSE)</f>
        <v>7</v>
      </c>
      <c r="G15" s="19">
        <f>VLOOKUP(B15,Table2data!$B:$O,6,FALSE)</f>
        <v>165</v>
      </c>
      <c r="H15" s="19">
        <f>VLOOKUP(B15,Table2data!$B:$O,7,FALSE)</f>
        <v>0</v>
      </c>
      <c r="I15" s="18">
        <f>VLOOKUP(B15,Table2data!$B:$O,8,FALSE)</f>
        <v>233</v>
      </c>
      <c r="J15" s="19">
        <f>VLOOKUP(B15,Table2data!$B:$O,9,FALSE)</f>
        <v>11</v>
      </c>
      <c r="K15" s="19">
        <f>VLOOKUP(B15,Table2data!$B:$O,10,FALSE)</f>
        <v>153</v>
      </c>
      <c r="L15" s="19">
        <f>VLOOKUP(B15,Table2data!$B:$O,11,FALSE)</f>
        <v>7</v>
      </c>
      <c r="M15" s="19">
        <f>VLOOKUP(B15,Table2data!$B:$O,12,FALSE)</f>
        <v>165</v>
      </c>
      <c r="N15" s="20">
        <f>VLOOKUP(B15,Table2data!$B:$O,7,FALSE)</f>
        <v>0</v>
      </c>
      <c r="O15" s="19">
        <f>VLOOKUP(B15,Table2data!$B:$O,13,FALSE)</f>
        <v>404</v>
      </c>
      <c r="P15" s="19">
        <f>VLOOKUP(B15,Table2data!$B:$O,14,FALSE)</f>
        <v>569</v>
      </c>
    </row>
    <row r="16" spans="1:16" ht="15">
      <c r="A16" s="7" t="s">
        <v>204</v>
      </c>
      <c r="B16" s="7" t="s">
        <v>205</v>
      </c>
      <c r="C16" s="19">
        <f>VLOOKUP(B16,Table2data!$B:$O,2,FALSE)</f>
        <v>226</v>
      </c>
      <c r="D16" s="19">
        <f>VLOOKUP(B16,Table2data!$B:$O,3,FALSE)</f>
        <v>15</v>
      </c>
      <c r="E16" s="19">
        <f>VLOOKUP(B16,Table2data!$B:$O,4,FALSE)</f>
        <v>358</v>
      </c>
      <c r="F16" s="19">
        <f>VLOOKUP(B16,Table2data!$B:$O,5,FALSE)</f>
        <v>3</v>
      </c>
      <c r="G16" s="19">
        <f>VLOOKUP(B16,Table2data!$B:$O,6,FALSE)</f>
        <v>133</v>
      </c>
      <c r="H16" s="19">
        <f>VLOOKUP(B16,Table2data!$B:$O,7,FALSE)</f>
        <v>1</v>
      </c>
      <c r="I16" s="18">
        <f>VLOOKUP(B16,Table2data!$B:$O,8,FALSE)</f>
        <v>226</v>
      </c>
      <c r="J16" s="19">
        <f>VLOOKUP(B16,Table2data!$B:$O,9,FALSE)</f>
        <v>15</v>
      </c>
      <c r="K16" s="19">
        <f>VLOOKUP(B16,Table2data!$B:$O,10,FALSE)</f>
        <v>358</v>
      </c>
      <c r="L16" s="19">
        <f>VLOOKUP(B16,Table2data!$B:$O,11,FALSE)</f>
        <v>3</v>
      </c>
      <c r="M16" s="19">
        <f>VLOOKUP(B16,Table2data!$B:$O,12,FALSE)</f>
        <v>133</v>
      </c>
      <c r="N16" s="20">
        <f>VLOOKUP(B16,Table2data!$B:$O,7,FALSE)</f>
        <v>1</v>
      </c>
      <c r="O16" s="19">
        <f>VLOOKUP(B16,Table2data!$B:$O,13,FALSE)</f>
        <v>603</v>
      </c>
      <c r="P16" s="19">
        <f>VLOOKUP(B16,Table2data!$B:$O,14,FALSE)</f>
        <v>736</v>
      </c>
    </row>
    <row r="17" spans="1:16" ht="15">
      <c r="A17" s="7" t="s">
        <v>206</v>
      </c>
      <c r="B17" s="7" t="s">
        <v>207</v>
      </c>
      <c r="C17" s="19">
        <f>VLOOKUP(B17,Table2data!$B:$O,2,FALSE)</f>
        <v>37</v>
      </c>
      <c r="D17" s="19">
        <f>VLOOKUP(B17,Table2data!$B:$O,3,FALSE)</f>
        <v>49</v>
      </c>
      <c r="E17" s="19">
        <f>VLOOKUP(B17,Table2data!$B:$O,4,FALSE)</f>
        <v>155</v>
      </c>
      <c r="F17" s="19">
        <f>VLOOKUP(B17,Table2data!$B:$O,5,FALSE)</f>
        <v>40</v>
      </c>
      <c r="G17" s="19">
        <f>VLOOKUP(B17,Table2data!$B:$O,6,FALSE)</f>
        <v>94</v>
      </c>
      <c r="H17" s="19">
        <f>VLOOKUP(B17,Table2data!$B:$O,7,FALSE)</f>
        <v>0</v>
      </c>
      <c r="I17" s="18">
        <f>VLOOKUP(B17,Table2data!$B:$O,8,FALSE)</f>
        <v>37</v>
      </c>
      <c r="J17" s="19">
        <f>VLOOKUP(B17,Table2data!$B:$O,9,FALSE)</f>
        <v>49</v>
      </c>
      <c r="K17" s="19">
        <f>VLOOKUP(B17,Table2data!$B:$O,10,FALSE)</f>
        <v>155</v>
      </c>
      <c r="L17" s="19">
        <f>VLOOKUP(B17,Table2data!$B:$O,11,FALSE)</f>
        <v>40</v>
      </c>
      <c r="M17" s="19">
        <f>VLOOKUP(B17,Table2data!$B:$O,12,FALSE)</f>
        <v>94</v>
      </c>
      <c r="N17" s="20">
        <f>VLOOKUP(B17,Table2data!$B:$O,7,FALSE)</f>
        <v>0</v>
      </c>
      <c r="O17" s="19">
        <f>VLOOKUP(B17,Table2data!$B:$O,13,FALSE)</f>
        <v>281</v>
      </c>
      <c r="P17" s="19">
        <f>VLOOKUP(B17,Table2data!$B:$O,14,FALSE)</f>
        <v>375</v>
      </c>
    </row>
    <row r="18" spans="1:16" ht="15">
      <c r="A18" s="7" t="s">
        <v>208</v>
      </c>
      <c r="B18" s="7" t="s">
        <v>209</v>
      </c>
      <c r="C18" s="19">
        <f>VLOOKUP(B18,Table2data!$B:$O,2,FALSE)</f>
        <v>6</v>
      </c>
      <c r="D18" s="19">
        <f>VLOOKUP(B18,Table2data!$B:$O,3,FALSE)</f>
        <v>5</v>
      </c>
      <c r="E18" s="19">
        <f>VLOOKUP(B18,Table2data!$B:$O,4,FALSE)</f>
        <v>9</v>
      </c>
      <c r="F18" s="19">
        <f>VLOOKUP(B18,Table2data!$B:$O,5,FALSE)</f>
        <v>2</v>
      </c>
      <c r="G18" s="19">
        <f>VLOOKUP(B18,Table2data!$B:$O,6,FALSE)</f>
        <v>9</v>
      </c>
      <c r="H18" s="19">
        <f>VLOOKUP(B18,Table2data!$B:$O,7,FALSE)</f>
        <v>0</v>
      </c>
      <c r="I18" s="18">
        <f>VLOOKUP(B18,Table2data!$B:$O,8,FALSE)</f>
        <v>6</v>
      </c>
      <c r="J18" s="19">
        <f>VLOOKUP(B18,Table2data!$B:$O,9,FALSE)</f>
        <v>5</v>
      </c>
      <c r="K18" s="19">
        <f>VLOOKUP(B18,Table2data!$B:$O,10,FALSE)</f>
        <v>9</v>
      </c>
      <c r="L18" s="19">
        <f>VLOOKUP(B18,Table2data!$B:$O,11,FALSE)</f>
        <v>2</v>
      </c>
      <c r="M18" s="19">
        <f>VLOOKUP(B18,Table2data!$B:$O,12,FALSE)</f>
        <v>9</v>
      </c>
      <c r="N18" s="20">
        <f>VLOOKUP(B18,Table2data!$B:$O,7,FALSE)</f>
        <v>0</v>
      </c>
      <c r="O18" s="19">
        <f>VLOOKUP(B18,Table2data!$B:$O,13,FALSE)</f>
        <v>22</v>
      </c>
      <c r="P18" s="19">
        <f>VLOOKUP(B18,Table2data!$B:$O,14,FALSE)</f>
        <v>31</v>
      </c>
    </row>
    <row r="19" spans="1:16" ht="15">
      <c r="A19" s="7" t="s">
        <v>210</v>
      </c>
      <c r="B19" s="7" t="s">
        <v>211</v>
      </c>
      <c r="C19" s="19">
        <f>VLOOKUP(B19,Table2data!$B:$O,2,FALSE)</f>
        <v>16</v>
      </c>
      <c r="D19" s="19">
        <f>VLOOKUP(B19,Table2data!$B:$O,3,FALSE)</f>
        <v>5</v>
      </c>
      <c r="E19" s="19">
        <f>VLOOKUP(B19,Table2data!$B:$O,4,FALSE)</f>
        <v>95</v>
      </c>
      <c r="F19" s="19">
        <f>VLOOKUP(B19,Table2data!$B:$O,5,FALSE)</f>
        <v>17</v>
      </c>
      <c r="G19" s="19">
        <f>VLOOKUP(B19,Table2data!$B:$O,6,FALSE)</f>
        <v>55</v>
      </c>
      <c r="H19" s="19">
        <f>VLOOKUP(B19,Table2data!$B:$O,7,FALSE)</f>
        <v>0</v>
      </c>
      <c r="I19" s="18">
        <f>VLOOKUP(B19,Table2data!$B:$O,8,FALSE)</f>
        <v>16</v>
      </c>
      <c r="J19" s="19">
        <f>VLOOKUP(B19,Table2data!$B:$O,9,FALSE)</f>
        <v>5</v>
      </c>
      <c r="K19" s="19">
        <f>VLOOKUP(B19,Table2data!$B:$O,10,FALSE)</f>
        <v>95</v>
      </c>
      <c r="L19" s="19">
        <f>VLOOKUP(B19,Table2data!$B:$O,11,FALSE)</f>
        <v>17</v>
      </c>
      <c r="M19" s="19">
        <f>VLOOKUP(B19,Table2data!$B:$O,12,FALSE)</f>
        <v>55</v>
      </c>
      <c r="N19" s="20">
        <f>VLOOKUP(B19,Table2data!$B:$O,7,FALSE)</f>
        <v>0</v>
      </c>
      <c r="O19" s="19">
        <f>VLOOKUP(B19,Table2data!$B:$O,13,FALSE)</f>
        <v>133</v>
      </c>
      <c r="P19" s="19">
        <f>VLOOKUP(B19,Table2data!$B:$O,14,FALSE)</f>
        <v>188</v>
      </c>
    </row>
    <row r="20" spans="1:16" ht="15">
      <c r="A20" s="7" t="s">
        <v>212</v>
      </c>
      <c r="B20" s="7" t="s">
        <v>213</v>
      </c>
      <c r="C20" s="19">
        <f>VLOOKUP(B20,Table2data!$B:$O,2,FALSE)</f>
        <v>40</v>
      </c>
      <c r="D20" s="19">
        <f>VLOOKUP(B20,Table2data!$B:$O,3,FALSE)</f>
        <v>12</v>
      </c>
      <c r="E20" s="19">
        <f>VLOOKUP(B20,Table2data!$B:$O,4,FALSE)</f>
        <v>0</v>
      </c>
      <c r="F20" s="19">
        <f>VLOOKUP(B20,Table2data!$B:$O,5,FALSE)</f>
        <v>22</v>
      </c>
      <c r="G20" s="19">
        <f>VLOOKUP(B20,Table2data!$B:$O,6,FALSE)</f>
        <v>17</v>
      </c>
      <c r="H20" s="19">
        <f>VLOOKUP(B20,Table2data!$B:$O,7,FALSE)</f>
        <v>0</v>
      </c>
      <c r="I20" s="18">
        <f>VLOOKUP(B20,Table2data!$B:$O,8,FALSE)</f>
        <v>40</v>
      </c>
      <c r="J20" s="19">
        <f>VLOOKUP(B20,Table2data!$B:$O,9,FALSE)</f>
        <v>12</v>
      </c>
      <c r="K20" s="19">
        <f>VLOOKUP(B20,Table2data!$B:$O,10,FALSE)</f>
        <v>0</v>
      </c>
      <c r="L20" s="19">
        <f>VLOOKUP(B20,Table2data!$B:$O,11,FALSE)</f>
        <v>22</v>
      </c>
      <c r="M20" s="19">
        <f>VLOOKUP(B20,Table2data!$B:$O,12,FALSE)</f>
        <v>17</v>
      </c>
      <c r="N20" s="20">
        <f>VLOOKUP(B20,Table2data!$B:$O,7,FALSE)</f>
        <v>0</v>
      </c>
      <c r="O20" s="19">
        <f>VLOOKUP(B20,Table2data!$B:$O,13,FALSE)</f>
        <v>74</v>
      </c>
      <c r="P20" s="19">
        <f>VLOOKUP(B20,Table2data!$B:$O,14,FALSE)</f>
        <v>91</v>
      </c>
    </row>
    <row r="21" spans="1:16" ht="15">
      <c r="A21" s="7" t="s">
        <v>214</v>
      </c>
      <c r="B21" s="7" t="s">
        <v>215</v>
      </c>
      <c r="C21" s="19">
        <f>VLOOKUP(B21,Table2data!$B:$O,2,FALSE)</f>
        <v>59</v>
      </c>
      <c r="D21" s="19">
        <f>VLOOKUP(B21,Table2data!$B:$O,3,FALSE)</f>
        <v>6</v>
      </c>
      <c r="E21" s="19">
        <f>VLOOKUP(B21,Table2data!$B:$O,4,FALSE)</f>
        <v>3</v>
      </c>
      <c r="F21" s="19">
        <f>VLOOKUP(B21,Table2data!$B:$O,5,FALSE)</f>
        <v>16</v>
      </c>
      <c r="G21" s="19">
        <f>VLOOKUP(B21,Table2data!$B:$O,6,FALSE)</f>
        <v>35</v>
      </c>
      <c r="H21" s="19">
        <f>VLOOKUP(B21,Table2data!$B:$O,7,FALSE)</f>
        <v>0</v>
      </c>
      <c r="I21" s="18">
        <f>VLOOKUP(B21,Table2data!$B:$O,8,FALSE)</f>
        <v>59</v>
      </c>
      <c r="J21" s="19">
        <f>VLOOKUP(B21,Table2data!$B:$O,9,FALSE)</f>
        <v>6</v>
      </c>
      <c r="K21" s="19">
        <f>VLOOKUP(B21,Table2data!$B:$O,10,FALSE)</f>
        <v>3</v>
      </c>
      <c r="L21" s="19">
        <f>VLOOKUP(B21,Table2data!$B:$O,11,FALSE)</f>
        <v>16</v>
      </c>
      <c r="M21" s="19">
        <f>VLOOKUP(B21,Table2data!$B:$O,12,FALSE)</f>
        <v>35</v>
      </c>
      <c r="N21" s="20">
        <f>VLOOKUP(B21,Table2data!$B:$O,7,FALSE)</f>
        <v>0</v>
      </c>
      <c r="O21" s="19">
        <f>VLOOKUP(B21,Table2data!$B:$O,13,FALSE)</f>
        <v>84</v>
      </c>
      <c r="P21" s="19">
        <f>VLOOKUP(B21,Table2data!$B:$O,14,FALSE)</f>
        <v>119</v>
      </c>
    </row>
    <row r="22" spans="1:16" ht="15">
      <c r="A22" s="7" t="s">
        <v>216</v>
      </c>
      <c r="B22" s="7" t="s">
        <v>217</v>
      </c>
      <c r="C22" s="19">
        <f>VLOOKUP(B22,Table2data!$B:$O,2,FALSE)</f>
        <v>37</v>
      </c>
      <c r="D22" s="19">
        <f>VLOOKUP(B22,Table2data!$B:$O,3,FALSE)</f>
        <v>38</v>
      </c>
      <c r="E22" s="19">
        <f>VLOOKUP(B22,Table2data!$B:$O,4,FALSE)</f>
        <v>1</v>
      </c>
      <c r="F22" s="19">
        <f>VLOOKUP(B22,Table2data!$B:$O,5,FALSE)</f>
        <v>17</v>
      </c>
      <c r="G22" s="19">
        <f>VLOOKUP(B22,Table2data!$B:$O,6,FALSE)</f>
        <v>69</v>
      </c>
      <c r="H22" s="19">
        <f>VLOOKUP(B22,Table2data!$B:$O,7,FALSE)</f>
        <v>0</v>
      </c>
      <c r="I22" s="18">
        <f>VLOOKUP(B22,Table2data!$B:$O,8,FALSE)</f>
        <v>37</v>
      </c>
      <c r="J22" s="19">
        <f>VLOOKUP(B22,Table2data!$B:$O,9,FALSE)</f>
        <v>38</v>
      </c>
      <c r="K22" s="19">
        <f>VLOOKUP(B22,Table2data!$B:$O,10,FALSE)</f>
        <v>1</v>
      </c>
      <c r="L22" s="19">
        <f>VLOOKUP(B22,Table2data!$B:$O,11,FALSE)</f>
        <v>17</v>
      </c>
      <c r="M22" s="19">
        <f>VLOOKUP(B22,Table2data!$B:$O,12,FALSE)</f>
        <v>69</v>
      </c>
      <c r="N22" s="20">
        <f>VLOOKUP(B22,Table2data!$B:$O,7,FALSE)</f>
        <v>0</v>
      </c>
      <c r="O22" s="19">
        <f>VLOOKUP(B22,Table2data!$B:$O,13,FALSE)</f>
        <v>93</v>
      </c>
      <c r="P22" s="19">
        <f>VLOOKUP(B22,Table2data!$B:$O,14,FALSE)</f>
        <v>162</v>
      </c>
    </row>
    <row r="23" spans="1:16" ht="15">
      <c r="A23" s="7" t="s">
        <v>218</v>
      </c>
      <c r="B23" s="7" t="s">
        <v>219</v>
      </c>
      <c r="C23" s="19">
        <f>VLOOKUP(B23,Table2data!$B:$O,2,FALSE)</f>
        <v>74</v>
      </c>
      <c r="D23" s="19">
        <f>VLOOKUP(B23,Table2data!$B:$O,3,FALSE)</f>
        <v>3</v>
      </c>
      <c r="E23" s="19">
        <f>VLOOKUP(B23,Table2data!$B:$O,4,FALSE)</f>
        <v>1</v>
      </c>
      <c r="F23" s="19">
        <f>VLOOKUP(B23,Table2data!$B:$O,5,FALSE)</f>
        <v>16</v>
      </c>
      <c r="G23" s="19">
        <f>VLOOKUP(B23,Table2data!$B:$O,6,FALSE)</f>
        <v>19</v>
      </c>
      <c r="H23" s="19">
        <f>VLOOKUP(B23,Table2data!$B:$O,7,FALSE)</f>
        <v>0</v>
      </c>
      <c r="I23" s="18">
        <f>VLOOKUP(B23,Table2data!$B:$O,8,FALSE)</f>
        <v>74</v>
      </c>
      <c r="J23" s="19">
        <f>VLOOKUP(B23,Table2data!$B:$O,9,FALSE)</f>
        <v>3</v>
      </c>
      <c r="K23" s="19">
        <f>VLOOKUP(B23,Table2data!$B:$O,10,FALSE)</f>
        <v>1</v>
      </c>
      <c r="L23" s="19">
        <f>VLOOKUP(B23,Table2data!$B:$O,11,FALSE)</f>
        <v>16</v>
      </c>
      <c r="M23" s="19">
        <f>VLOOKUP(B23,Table2data!$B:$O,12,FALSE)</f>
        <v>19</v>
      </c>
      <c r="N23" s="20">
        <f>VLOOKUP(B23,Table2data!$B:$O,7,FALSE)</f>
        <v>0</v>
      </c>
      <c r="O23" s="19">
        <f>VLOOKUP(B23,Table2data!$B:$O,13,FALSE)</f>
        <v>94</v>
      </c>
      <c r="P23" s="19">
        <f>VLOOKUP(B23,Table2data!$B:$O,14,FALSE)</f>
        <v>113</v>
      </c>
    </row>
    <row r="24" spans="1:16" ht="15">
      <c r="A24" s="7" t="s">
        <v>220</v>
      </c>
      <c r="B24" s="7" t="s">
        <v>221</v>
      </c>
      <c r="C24" s="19">
        <f>VLOOKUP(B24,Table2data!$B:$O,2,FALSE)</f>
        <v>383</v>
      </c>
      <c r="D24" s="19">
        <f>VLOOKUP(B24,Table2data!$B:$O,3,FALSE)</f>
        <v>174</v>
      </c>
      <c r="E24" s="19">
        <f>VLOOKUP(B24,Table2data!$B:$O,4,FALSE)</f>
        <v>0</v>
      </c>
      <c r="F24" s="19">
        <f>VLOOKUP(B24,Table2data!$B:$O,5,FALSE)</f>
        <v>297</v>
      </c>
      <c r="G24" s="19">
        <f>VLOOKUP(B24,Table2data!$B:$O,6,FALSE)</f>
        <v>1009</v>
      </c>
      <c r="H24" s="19">
        <f>VLOOKUP(B24,Table2data!$B:$O,7,FALSE)</f>
        <v>0</v>
      </c>
      <c r="I24" s="18">
        <f>VLOOKUP(B24,Table2data!$B:$O,8,FALSE)</f>
        <v>383</v>
      </c>
      <c r="J24" s="19">
        <f>VLOOKUP(B24,Table2data!$B:$O,9,FALSE)</f>
        <v>174</v>
      </c>
      <c r="K24" s="19">
        <f>VLOOKUP(B24,Table2data!$B:$O,10,FALSE)</f>
        <v>0</v>
      </c>
      <c r="L24" s="19">
        <f>VLOOKUP(B24,Table2data!$B:$O,11,FALSE)</f>
        <v>297</v>
      </c>
      <c r="M24" s="19">
        <f>VLOOKUP(B24,Table2data!$B:$O,12,FALSE)</f>
        <v>1009</v>
      </c>
      <c r="N24" s="20">
        <f>VLOOKUP(B24,Table2data!$B:$O,7,FALSE)</f>
        <v>0</v>
      </c>
      <c r="O24" s="19">
        <f>VLOOKUP(B24,Table2data!$B:$O,13,FALSE)</f>
        <v>854</v>
      </c>
      <c r="P24" s="19">
        <f>VLOOKUP(B24,Table2data!$B:$O,14,FALSE)</f>
        <v>1863</v>
      </c>
    </row>
    <row r="25" spans="1:16" ht="15">
      <c r="A25" s="7" t="s">
        <v>222</v>
      </c>
      <c r="B25" s="7" t="s">
        <v>223</v>
      </c>
      <c r="C25" s="84">
        <f>VLOOKUP(B25,Table2data!$B:$O,2,FALSE)</f>
        <v>353</v>
      </c>
      <c r="D25" s="85">
        <f>VLOOKUP(B25,Table2data!$B:$O,3,FALSE)</f>
        <v>61</v>
      </c>
      <c r="E25" s="85">
        <f>VLOOKUP(B25,Table2data!$B:$O,4,FALSE)</f>
        <v>0</v>
      </c>
      <c r="F25" s="85">
        <f>VLOOKUP(B25,Table2data!$B:$O,5,FALSE)</f>
        <v>250</v>
      </c>
      <c r="G25" s="85">
        <f>VLOOKUP(B25,Table2data!$B:$O,6,FALSE)</f>
        <v>317</v>
      </c>
      <c r="H25" s="85">
        <f>VLOOKUP(B25,Table2data!$B:$O,7,FALSE)</f>
        <v>1</v>
      </c>
      <c r="I25" s="87">
        <f>VLOOKUP(B25,Table2data!$B:$O,8,FALSE)</f>
        <v>317</v>
      </c>
      <c r="J25" s="85">
        <f>VLOOKUP(B25,Table2data!$B:$O,9,FALSE)</f>
        <v>58</v>
      </c>
      <c r="K25" s="85">
        <f>VLOOKUP(B25,Table2data!$B:$O,10,FALSE)</f>
        <v>0</v>
      </c>
      <c r="L25" s="85">
        <f>VLOOKUP(B25,Table2data!$B:$O,11,FALSE)</f>
        <v>240</v>
      </c>
      <c r="M25" s="85">
        <f>VLOOKUP(B25,Table2data!$B:$O,12,FALSE)</f>
        <v>303</v>
      </c>
      <c r="N25" s="88">
        <f>VLOOKUP(B25,Table2data!$B:$O,7,FALSE)</f>
        <v>1</v>
      </c>
      <c r="O25" s="85">
        <f>VLOOKUP(B25,Table2data!$B:$O,13,FALSE)</f>
        <v>665</v>
      </c>
      <c r="P25" s="85">
        <f>VLOOKUP(B25,Table2data!$B:$O,14,FALSE)</f>
        <v>982</v>
      </c>
    </row>
    <row r="26" spans="1:16" ht="15">
      <c r="A26" s="8"/>
      <c r="B26" s="8"/>
      <c r="C26" s="22">
        <f aca="true" t="shared" si="1" ref="C26:P26">SUM(C7:C25)</f>
        <v>2415</v>
      </c>
      <c r="D26" s="22">
        <f t="shared" si="1"/>
        <v>563</v>
      </c>
      <c r="E26" s="22">
        <f t="shared" si="1"/>
        <v>1639</v>
      </c>
      <c r="F26" s="22">
        <f t="shared" si="1"/>
        <v>867</v>
      </c>
      <c r="G26" s="22">
        <f t="shared" si="1"/>
        <v>2638</v>
      </c>
      <c r="H26" s="22">
        <f t="shared" si="1"/>
        <v>3</v>
      </c>
      <c r="I26" s="21">
        <f t="shared" si="1"/>
        <v>2379</v>
      </c>
      <c r="J26" s="22">
        <f t="shared" si="1"/>
        <v>560</v>
      </c>
      <c r="K26" s="22">
        <f t="shared" si="1"/>
        <v>1639</v>
      </c>
      <c r="L26" s="22">
        <f t="shared" si="1"/>
        <v>856</v>
      </c>
      <c r="M26" s="22">
        <f t="shared" si="1"/>
        <v>2624</v>
      </c>
      <c r="N26" s="23">
        <f t="shared" si="1"/>
        <v>3</v>
      </c>
      <c r="O26" s="22">
        <f t="shared" si="1"/>
        <v>5487</v>
      </c>
      <c r="P26" s="22">
        <f t="shared" si="1"/>
        <v>8125</v>
      </c>
    </row>
    <row r="27" spans="1:16" ht="15">
      <c r="A27" s="8"/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>
      <c r="A28" s="9">
        <v>1976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>
      <c r="A29" s="7" t="s">
        <v>224</v>
      </c>
      <c r="B29" s="7" t="s">
        <v>225</v>
      </c>
      <c r="C29" s="16">
        <f>VLOOKUP(B29,Table2data!$B:$O,2,FALSE)</f>
        <v>24</v>
      </c>
      <c r="D29" s="19">
        <f>VLOOKUP(B29,Table2data!$B:$O,3,FALSE)</f>
        <v>2</v>
      </c>
      <c r="E29" s="19">
        <f>VLOOKUP(B29,Table2data!$B:$O,4,FALSE)</f>
        <v>29</v>
      </c>
      <c r="F29" s="19">
        <f>VLOOKUP(B29,Table2data!$B:$O,5,FALSE)</f>
        <v>2</v>
      </c>
      <c r="G29" s="19">
        <f>VLOOKUP(B29,Table2data!$B:$O,6,FALSE)</f>
        <v>1</v>
      </c>
      <c r="H29" s="19">
        <f>VLOOKUP(B29,Table2data!$B:$O,7,FALSE)</f>
        <v>0</v>
      </c>
      <c r="I29" s="18">
        <f>VLOOKUP(B29,Table2data!$B:$O,8,FALSE)</f>
        <v>24</v>
      </c>
      <c r="J29" s="19">
        <f>VLOOKUP(B29,Table2data!$B:$O,9,FALSE)</f>
        <v>2</v>
      </c>
      <c r="K29" s="19">
        <f>VLOOKUP(B29,Table2data!$B:$O,10,FALSE)</f>
        <v>29</v>
      </c>
      <c r="L29" s="19">
        <f>VLOOKUP(B29,Table2data!$B:$O,11,FALSE)</f>
        <v>2</v>
      </c>
      <c r="M29" s="19">
        <f>VLOOKUP(B29,Table2data!$B:$O,12,FALSE)</f>
        <v>1</v>
      </c>
      <c r="N29" s="20">
        <f>VLOOKUP(B29,Table2data!$B:$O,7,FALSE)</f>
        <v>0</v>
      </c>
      <c r="O29" s="19">
        <f>VLOOKUP(B29,Table2data!$B:$O,13,FALSE)</f>
        <v>57</v>
      </c>
      <c r="P29" s="19">
        <f>VLOOKUP(B29,Table2data!$B:$O,14,FALSE)</f>
        <v>58</v>
      </c>
    </row>
    <row r="30" spans="1:16" ht="15">
      <c r="A30" s="7" t="s">
        <v>226</v>
      </c>
      <c r="B30" s="7" t="s">
        <v>227</v>
      </c>
      <c r="C30" s="16">
        <f>VLOOKUP(B30,Table2data!$B:$O,2,FALSE)</f>
        <v>76</v>
      </c>
      <c r="D30" s="19">
        <f>VLOOKUP(B30,Table2data!$B:$O,3,FALSE)</f>
        <v>4</v>
      </c>
      <c r="E30" s="19">
        <f>VLOOKUP(B30,Table2data!$B:$O,4,FALSE)</f>
        <v>27</v>
      </c>
      <c r="F30" s="19">
        <f>VLOOKUP(B30,Table2data!$B:$O,5,FALSE)</f>
        <v>7</v>
      </c>
      <c r="G30" s="19">
        <f>VLOOKUP(B30,Table2data!$B:$O,6,FALSE)</f>
        <v>1</v>
      </c>
      <c r="H30" s="19">
        <f>VLOOKUP(B30,Table2data!$B:$O,7,FALSE)</f>
        <v>0</v>
      </c>
      <c r="I30" s="18">
        <f>VLOOKUP(B30,Table2data!$B:$O,8,FALSE)</f>
        <v>76</v>
      </c>
      <c r="J30" s="19">
        <f>VLOOKUP(B30,Table2data!$B:$O,9,FALSE)</f>
        <v>4</v>
      </c>
      <c r="K30" s="19">
        <f>VLOOKUP(B30,Table2data!$B:$O,10,FALSE)</f>
        <v>27</v>
      </c>
      <c r="L30" s="19">
        <f>VLOOKUP(B30,Table2data!$B:$O,11,FALSE)</f>
        <v>7</v>
      </c>
      <c r="M30" s="19">
        <f>VLOOKUP(B30,Table2data!$B:$O,12,FALSE)</f>
        <v>1</v>
      </c>
      <c r="N30" s="20">
        <f>VLOOKUP(B30,Table2data!$B:$O,7,FALSE)</f>
        <v>0</v>
      </c>
      <c r="O30" s="19">
        <f>VLOOKUP(B30,Table2data!$B:$O,13,FALSE)</f>
        <v>114</v>
      </c>
      <c r="P30" s="19">
        <f>VLOOKUP(B30,Table2data!$B:$O,14,FALSE)</f>
        <v>115</v>
      </c>
    </row>
    <row r="31" spans="1:16" ht="15">
      <c r="A31" s="7" t="s">
        <v>228</v>
      </c>
      <c r="B31" s="7" t="s">
        <v>229</v>
      </c>
      <c r="C31" s="16">
        <f>VLOOKUP(B31,Table2data!$B:$O,2,FALSE)</f>
        <v>553</v>
      </c>
      <c r="D31" s="19">
        <f>VLOOKUP(B31,Table2data!$B:$O,3,FALSE)</f>
        <v>3</v>
      </c>
      <c r="E31" s="19">
        <f>VLOOKUP(B31,Table2data!$B:$O,4,FALSE)</f>
        <v>156</v>
      </c>
      <c r="F31" s="19">
        <f>VLOOKUP(B31,Table2data!$B:$O,5,FALSE)</f>
        <v>23</v>
      </c>
      <c r="G31" s="19">
        <f>VLOOKUP(B31,Table2data!$B:$O,6,FALSE)</f>
        <v>6</v>
      </c>
      <c r="H31" s="19">
        <f>VLOOKUP(B31,Table2data!$B:$O,7,FALSE)</f>
        <v>0</v>
      </c>
      <c r="I31" s="18">
        <f>VLOOKUP(B31,Table2data!$B:$O,8,FALSE)</f>
        <v>553</v>
      </c>
      <c r="J31" s="19">
        <f>VLOOKUP(B31,Table2data!$B:$O,9,FALSE)</f>
        <v>3</v>
      </c>
      <c r="K31" s="19">
        <f>VLOOKUP(B31,Table2data!$B:$O,10,FALSE)</f>
        <v>156</v>
      </c>
      <c r="L31" s="19">
        <f>VLOOKUP(B31,Table2data!$B:$O,11,FALSE)</f>
        <v>23</v>
      </c>
      <c r="M31" s="19">
        <f>VLOOKUP(B31,Table2data!$B:$O,12,FALSE)</f>
        <v>6</v>
      </c>
      <c r="N31" s="20">
        <f>VLOOKUP(B31,Table2data!$B:$O,7,FALSE)</f>
        <v>0</v>
      </c>
      <c r="O31" s="19">
        <f>VLOOKUP(B31,Table2data!$B:$O,13,FALSE)</f>
        <v>735</v>
      </c>
      <c r="P31" s="19">
        <f>VLOOKUP(B31,Table2data!$B:$O,14,FALSE)</f>
        <v>741</v>
      </c>
    </row>
    <row r="32" spans="1:16" ht="15">
      <c r="A32" s="7" t="s">
        <v>230</v>
      </c>
      <c r="B32" s="7" t="s">
        <v>231</v>
      </c>
      <c r="C32" s="16">
        <f>VLOOKUP(B32,Table2data!$B:$O,2,FALSE)</f>
        <v>23</v>
      </c>
      <c r="D32" s="19">
        <f>VLOOKUP(B32,Table2data!$B:$O,3,FALSE)</f>
        <v>5</v>
      </c>
      <c r="E32" s="19">
        <f>VLOOKUP(B32,Table2data!$B:$O,4,FALSE)</f>
        <v>112</v>
      </c>
      <c r="F32" s="19">
        <f>VLOOKUP(B32,Table2data!$B:$O,5,FALSE)</f>
        <v>18</v>
      </c>
      <c r="G32" s="19">
        <f>VLOOKUP(B32,Table2data!$B:$O,6,FALSE)</f>
        <v>2</v>
      </c>
      <c r="H32" s="19">
        <f>VLOOKUP(B32,Table2data!$B:$O,7,FALSE)</f>
        <v>0</v>
      </c>
      <c r="I32" s="18">
        <f>VLOOKUP(B32,Table2data!$B:$O,8,FALSE)</f>
        <v>23</v>
      </c>
      <c r="J32" s="19">
        <f>VLOOKUP(B32,Table2data!$B:$O,9,FALSE)</f>
        <v>5</v>
      </c>
      <c r="K32" s="19">
        <f>VLOOKUP(B32,Table2data!$B:$O,10,FALSE)</f>
        <v>112</v>
      </c>
      <c r="L32" s="19">
        <f>VLOOKUP(B32,Table2data!$B:$O,11,FALSE)</f>
        <v>18</v>
      </c>
      <c r="M32" s="19">
        <f>VLOOKUP(B32,Table2data!$B:$O,12,FALSE)</f>
        <v>2</v>
      </c>
      <c r="N32" s="20">
        <f>VLOOKUP(B32,Table2data!$B:$O,7,FALSE)</f>
        <v>0</v>
      </c>
      <c r="O32" s="19">
        <f>VLOOKUP(B32,Table2data!$B:$O,13,FALSE)</f>
        <v>158</v>
      </c>
      <c r="P32" s="19">
        <f>VLOOKUP(B32,Table2data!$B:$O,14,FALSE)</f>
        <v>160</v>
      </c>
    </row>
    <row r="33" spans="1:16" ht="15">
      <c r="A33" s="7" t="s">
        <v>232</v>
      </c>
      <c r="B33" s="7" t="s">
        <v>233</v>
      </c>
      <c r="C33" s="16">
        <f>VLOOKUP(B33,Table2data!$B:$O,2,FALSE)</f>
        <v>563</v>
      </c>
      <c r="D33" s="19">
        <f>VLOOKUP(B33,Table2data!$B:$O,3,FALSE)</f>
        <v>24</v>
      </c>
      <c r="E33" s="19">
        <f>VLOOKUP(B33,Table2data!$B:$O,4,FALSE)</f>
        <v>0</v>
      </c>
      <c r="F33" s="19">
        <f>VLOOKUP(B33,Table2data!$B:$O,5,FALSE)</f>
        <v>78</v>
      </c>
      <c r="G33" s="19">
        <f>VLOOKUP(B33,Table2data!$B:$O,6,FALSE)</f>
        <v>5</v>
      </c>
      <c r="H33" s="19">
        <f>VLOOKUP(B33,Table2data!$B:$O,7,FALSE)</f>
        <v>0</v>
      </c>
      <c r="I33" s="18">
        <f>VLOOKUP(B33,Table2data!$B:$O,8,FALSE)</f>
        <v>563</v>
      </c>
      <c r="J33" s="19">
        <f>VLOOKUP(B33,Table2data!$B:$O,9,FALSE)</f>
        <v>24</v>
      </c>
      <c r="K33" s="19">
        <f>VLOOKUP(B33,Table2data!$B:$O,10,FALSE)</f>
        <v>0</v>
      </c>
      <c r="L33" s="19">
        <f>VLOOKUP(B33,Table2data!$B:$O,11,FALSE)</f>
        <v>78</v>
      </c>
      <c r="M33" s="19">
        <f>VLOOKUP(B33,Table2data!$B:$O,12,FALSE)</f>
        <v>5</v>
      </c>
      <c r="N33" s="20">
        <f>VLOOKUP(B33,Table2data!$B:$O,7,FALSE)</f>
        <v>0</v>
      </c>
      <c r="O33" s="19">
        <f>VLOOKUP(B33,Table2data!$B:$O,13,FALSE)</f>
        <v>665</v>
      </c>
      <c r="P33" s="19">
        <f>VLOOKUP(B33,Table2data!$B:$O,14,FALSE)</f>
        <v>670</v>
      </c>
    </row>
    <row r="34" spans="1:16" ht="15">
      <c r="A34" s="7" t="s">
        <v>234</v>
      </c>
      <c r="B34" s="7" t="s">
        <v>235</v>
      </c>
      <c r="C34" s="84">
        <f>VLOOKUP(B34,Table2data!$B:$O,2,FALSE)</f>
        <v>146</v>
      </c>
      <c r="D34" s="85">
        <f>VLOOKUP(B34,Table2data!$B:$O,3,FALSE)</f>
        <v>3</v>
      </c>
      <c r="E34" s="85">
        <f>VLOOKUP(B34,Table2data!$B:$O,4,FALSE)</f>
        <v>14</v>
      </c>
      <c r="F34" s="85">
        <f>VLOOKUP(B34,Table2data!$B:$O,5,FALSE)</f>
        <v>10</v>
      </c>
      <c r="G34" s="85">
        <f>VLOOKUP(B34,Table2data!$B:$O,6,FALSE)</f>
        <v>0</v>
      </c>
      <c r="H34" s="85">
        <f>VLOOKUP(B34,Table2data!$B:$O,7,FALSE)</f>
        <v>0</v>
      </c>
      <c r="I34" s="87">
        <f>VLOOKUP(B34,Table2data!$B:$O,8,FALSE)</f>
        <v>146</v>
      </c>
      <c r="J34" s="85">
        <f>VLOOKUP(B34,Table2data!$B:$O,9,FALSE)</f>
        <v>3</v>
      </c>
      <c r="K34" s="85">
        <f>VLOOKUP(B34,Table2data!$B:$O,10,FALSE)</f>
        <v>14</v>
      </c>
      <c r="L34" s="85">
        <f>VLOOKUP(B34,Table2data!$B:$O,11,FALSE)</f>
        <v>10</v>
      </c>
      <c r="M34" s="85">
        <f>VLOOKUP(B34,Table2data!$B:$O,12,FALSE)</f>
        <v>0</v>
      </c>
      <c r="N34" s="88">
        <f>VLOOKUP(B34,Table2data!$B:$O,7,FALSE)</f>
        <v>0</v>
      </c>
      <c r="O34" s="85">
        <f>VLOOKUP(B34,Table2data!$B:$O,13,FALSE)</f>
        <v>173</v>
      </c>
      <c r="P34" s="85">
        <f>VLOOKUP(B34,Table2data!$B:$O,14,FALSE)</f>
        <v>173</v>
      </c>
    </row>
    <row r="35" spans="1:16" ht="15">
      <c r="A35" s="8"/>
      <c r="B35" s="8"/>
      <c r="C35" s="22">
        <f>SUM(C29:C34)</f>
        <v>1385</v>
      </c>
      <c r="D35" s="22">
        <f aca="true" t="shared" si="2" ref="D35:P35">SUM(D29:D34)</f>
        <v>41</v>
      </c>
      <c r="E35" s="22">
        <f t="shared" si="2"/>
        <v>338</v>
      </c>
      <c r="F35" s="22">
        <f t="shared" si="2"/>
        <v>138</v>
      </c>
      <c r="G35" s="22">
        <f t="shared" si="2"/>
        <v>15</v>
      </c>
      <c r="H35" s="22">
        <f t="shared" si="2"/>
        <v>0</v>
      </c>
      <c r="I35" s="21">
        <f t="shared" si="2"/>
        <v>1385</v>
      </c>
      <c r="J35" s="22">
        <f t="shared" si="2"/>
        <v>41</v>
      </c>
      <c r="K35" s="22">
        <f t="shared" si="2"/>
        <v>338</v>
      </c>
      <c r="L35" s="22">
        <f t="shared" si="2"/>
        <v>138</v>
      </c>
      <c r="M35" s="22">
        <f t="shared" si="2"/>
        <v>15</v>
      </c>
      <c r="N35" s="23">
        <f t="shared" si="2"/>
        <v>0</v>
      </c>
      <c r="O35" s="22">
        <f t="shared" si="2"/>
        <v>1902</v>
      </c>
      <c r="P35" s="22">
        <f t="shared" si="2"/>
        <v>1917</v>
      </c>
    </row>
    <row r="36" spans="1:16" ht="15">
      <c r="A36" s="8"/>
      <c r="B36" s="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>
      <c r="A37" s="9" t="s">
        <v>236</v>
      </c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7" t="s">
        <v>237</v>
      </c>
      <c r="B38" s="7" t="s">
        <v>238</v>
      </c>
      <c r="C38" s="16">
        <f>VLOOKUP(B38,Table2data!$B:$O,2,FALSE)</f>
        <v>5</v>
      </c>
      <c r="D38" s="19">
        <f>VLOOKUP(B38,Table2data!$B:$O,3,FALSE)</f>
        <v>7</v>
      </c>
      <c r="E38" s="19">
        <f>VLOOKUP(B38,Table2data!$B:$O,4,FALSE)</f>
        <v>18</v>
      </c>
      <c r="F38" s="19">
        <f>VLOOKUP(B38,Table2data!$B:$O,5,FALSE)</f>
        <v>5</v>
      </c>
      <c r="G38" s="19">
        <f>VLOOKUP(B38,Table2data!$B:$O,6,FALSE)</f>
        <v>12</v>
      </c>
      <c r="H38" s="19">
        <f>VLOOKUP(B38,Table2data!$B:$O,7,FALSE)</f>
        <v>0</v>
      </c>
      <c r="I38" s="18">
        <f>VLOOKUP(B38,Table2data!$B:$O,8,FALSE)</f>
        <v>5</v>
      </c>
      <c r="J38" s="19">
        <f>VLOOKUP(B38,Table2data!$B:$O,9,FALSE)</f>
        <v>7</v>
      </c>
      <c r="K38" s="19">
        <f>VLOOKUP(B38,Table2data!$B:$O,10,FALSE)</f>
        <v>18</v>
      </c>
      <c r="L38" s="19">
        <f>VLOOKUP(B38,Table2data!$B:$O,11,FALSE)</f>
        <v>5</v>
      </c>
      <c r="M38" s="19">
        <f>VLOOKUP(B38,Table2data!$B:$O,12,FALSE)</f>
        <v>12</v>
      </c>
      <c r="N38" s="20">
        <f>VLOOKUP(B38,Table2data!$B:$O,7,FALSE)</f>
        <v>0</v>
      </c>
      <c r="O38" s="19">
        <f>VLOOKUP(B38,Table2data!$B:$O,13,FALSE)</f>
        <v>35</v>
      </c>
      <c r="P38" s="19">
        <f>VLOOKUP(B38,Table2data!$B:$O,14,FALSE)</f>
        <v>47</v>
      </c>
    </row>
    <row r="39" spans="1:16" ht="15">
      <c r="A39" s="7" t="s">
        <v>239</v>
      </c>
      <c r="B39" s="7" t="s">
        <v>240</v>
      </c>
      <c r="C39" s="16">
        <f>VLOOKUP(B39,Table2data!$B:$O,2,FALSE)</f>
        <v>23</v>
      </c>
      <c r="D39" s="19">
        <f>VLOOKUP(B39,Table2data!$B:$O,3,FALSE)</f>
        <v>0</v>
      </c>
      <c r="E39" s="19">
        <f>VLOOKUP(B39,Table2data!$B:$O,4,FALSE)</f>
        <v>59</v>
      </c>
      <c r="F39" s="19">
        <f>VLOOKUP(B39,Table2data!$B:$O,5,FALSE)</f>
        <v>1</v>
      </c>
      <c r="G39" s="19">
        <f>VLOOKUP(B39,Table2data!$B:$O,6,FALSE)</f>
        <v>28</v>
      </c>
      <c r="H39" s="19">
        <f>VLOOKUP(B39,Table2data!$B:$O,7,FALSE)</f>
        <v>0</v>
      </c>
      <c r="I39" s="18">
        <f>VLOOKUP(B39,Table2data!$B:$O,8,FALSE)</f>
        <v>23</v>
      </c>
      <c r="J39" s="19">
        <f>VLOOKUP(B39,Table2data!$B:$O,9,FALSE)</f>
        <v>0</v>
      </c>
      <c r="K39" s="19">
        <f>VLOOKUP(B39,Table2data!$B:$O,10,FALSE)</f>
        <v>59</v>
      </c>
      <c r="L39" s="19">
        <f>VLOOKUP(B39,Table2data!$B:$O,11,FALSE)</f>
        <v>1</v>
      </c>
      <c r="M39" s="19">
        <f>VLOOKUP(B39,Table2data!$B:$O,12,FALSE)</f>
        <v>28</v>
      </c>
      <c r="N39" s="20">
        <f>VLOOKUP(B39,Table2data!$B:$O,7,FALSE)</f>
        <v>0</v>
      </c>
      <c r="O39" s="19">
        <f>VLOOKUP(B39,Table2data!$B:$O,13,FALSE)</f>
        <v>83</v>
      </c>
      <c r="P39" s="19">
        <f>VLOOKUP(B39,Table2data!$B:$O,14,FALSE)</f>
        <v>111</v>
      </c>
    </row>
    <row r="40" spans="1:16" ht="15">
      <c r="A40" s="7" t="s">
        <v>241</v>
      </c>
      <c r="B40" s="7" t="s">
        <v>242</v>
      </c>
      <c r="C40" s="16">
        <f>VLOOKUP(B40,Table2data!$B:$O,2,FALSE)</f>
        <v>24</v>
      </c>
      <c r="D40" s="19">
        <f>VLOOKUP(B40,Table2data!$B:$O,3,FALSE)</f>
        <v>31</v>
      </c>
      <c r="E40" s="19">
        <f>VLOOKUP(B40,Table2data!$B:$O,4,FALSE)</f>
        <v>0</v>
      </c>
      <c r="F40" s="19">
        <f>VLOOKUP(B40,Table2data!$B:$O,5,FALSE)</f>
        <v>23</v>
      </c>
      <c r="G40" s="19">
        <f>VLOOKUP(B40,Table2data!$B:$O,6,FALSE)</f>
        <v>27</v>
      </c>
      <c r="H40" s="19">
        <f>VLOOKUP(B40,Table2data!$B:$O,7,FALSE)</f>
        <v>0</v>
      </c>
      <c r="I40" s="18">
        <f>VLOOKUP(B40,Table2data!$B:$O,8,FALSE)</f>
        <v>24</v>
      </c>
      <c r="J40" s="19">
        <f>VLOOKUP(B40,Table2data!$B:$O,9,FALSE)</f>
        <v>31</v>
      </c>
      <c r="K40" s="19">
        <f>VLOOKUP(B40,Table2data!$B:$O,10,FALSE)</f>
        <v>0</v>
      </c>
      <c r="L40" s="19">
        <f>VLOOKUP(B40,Table2data!$B:$O,11,FALSE)</f>
        <v>23</v>
      </c>
      <c r="M40" s="19">
        <f>VLOOKUP(B40,Table2data!$B:$O,12,FALSE)</f>
        <v>27</v>
      </c>
      <c r="N40" s="20">
        <f>VLOOKUP(B40,Table2data!$B:$O,7,FALSE)</f>
        <v>0</v>
      </c>
      <c r="O40" s="19">
        <f>VLOOKUP(B40,Table2data!$B:$O,13,FALSE)</f>
        <v>78</v>
      </c>
      <c r="P40" s="19">
        <f>VLOOKUP(B40,Table2data!$B:$O,14,FALSE)</f>
        <v>105</v>
      </c>
    </row>
    <row r="41" spans="1:16" ht="15">
      <c r="A41" s="7" t="s">
        <v>243</v>
      </c>
      <c r="B41" s="7" t="s">
        <v>244</v>
      </c>
      <c r="C41" s="84">
        <f>VLOOKUP(B41,Table2data!$B:$O,2,FALSE)</f>
        <v>32</v>
      </c>
      <c r="D41" s="85">
        <f>VLOOKUP(B41,Table2data!$B:$O,3,FALSE)</f>
        <v>5</v>
      </c>
      <c r="E41" s="85">
        <f>VLOOKUP(B41,Table2data!$B:$O,4,FALSE)</f>
        <v>6</v>
      </c>
      <c r="F41" s="85">
        <f>VLOOKUP(B41,Table2data!$B:$O,5,FALSE)</f>
        <v>10</v>
      </c>
      <c r="G41" s="85">
        <f>VLOOKUP(B41,Table2data!$B:$O,6,FALSE)</f>
        <v>22</v>
      </c>
      <c r="H41" s="85">
        <f>VLOOKUP(B41,Table2data!$B:$O,7,FALSE)</f>
        <v>0</v>
      </c>
      <c r="I41" s="87">
        <f>VLOOKUP(B41,Table2data!$B:$O,8,FALSE)</f>
        <v>32</v>
      </c>
      <c r="J41" s="85">
        <f>VLOOKUP(B41,Table2data!$B:$O,9,FALSE)</f>
        <v>5</v>
      </c>
      <c r="K41" s="85">
        <f>VLOOKUP(B41,Table2data!$B:$O,10,FALSE)</f>
        <v>6</v>
      </c>
      <c r="L41" s="85">
        <f>VLOOKUP(B41,Table2data!$B:$O,11,FALSE)</f>
        <v>10</v>
      </c>
      <c r="M41" s="85">
        <f>VLOOKUP(B41,Table2data!$B:$O,12,FALSE)</f>
        <v>22</v>
      </c>
      <c r="N41" s="88">
        <f>VLOOKUP(B41,Table2data!$B:$O,7,FALSE)</f>
        <v>0</v>
      </c>
      <c r="O41" s="85">
        <f>VLOOKUP(B41,Table2data!$B:$O,13,FALSE)</f>
        <v>53</v>
      </c>
      <c r="P41" s="85">
        <f>VLOOKUP(B41,Table2data!$B:$O,14,FALSE)</f>
        <v>75</v>
      </c>
    </row>
    <row r="42" spans="1:16" ht="15">
      <c r="A42" s="8"/>
      <c r="B42" s="8"/>
      <c r="C42" s="22">
        <f>SUM(C38:C41)</f>
        <v>84</v>
      </c>
      <c r="D42" s="22">
        <f aca="true" t="shared" si="3" ref="D42:P42">SUM(D38:D41)</f>
        <v>43</v>
      </c>
      <c r="E42" s="22">
        <f t="shared" si="3"/>
        <v>83</v>
      </c>
      <c r="F42" s="22">
        <f t="shared" si="3"/>
        <v>39</v>
      </c>
      <c r="G42" s="22">
        <f t="shared" si="3"/>
        <v>89</v>
      </c>
      <c r="H42" s="22">
        <f t="shared" si="3"/>
        <v>0</v>
      </c>
      <c r="I42" s="21">
        <f t="shared" si="3"/>
        <v>84</v>
      </c>
      <c r="J42" s="22">
        <f t="shared" si="3"/>
        <v>43</v>
      </c>
      <c r="K42" s="22">
        <f t="shared" si="3"/>
        <v>83</v>
      </c>
      <c r="L42" s="22">
        <f t="shared" si="3"/>
        <v>39</v>
      </c>
      <c r="M42" s="22">
        <f t="shared" si="3"/>
        <v>89</v>
      </c>
      <c r="N42" s="23">
        <f t="shared" si="3"/>
        <v>0</v>
      </c>
      <c r="O42" s="22">
        <f t="shared" si="3"/>
        <v>249</v>
      </c>
      <c r="P42" s="22">
        <f t="shared" si="3"/>
        <v>338</v>
      </c>
    </row>
    <row r="43" spans="1:16" ht="15">
      <c r="A43" s="8"/>
      <c r="B43" s="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>
      <c r="A44" s="9" t="s">
        <v>245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>
      <c r="A45" s="7" t="s">
        <v>246</v>
      </c>
      <c r="B45" s="7" t="s">
        <v>247</v>
      </c>
      <c r="C45" s="16">
        <f>VLOOKUP(B45,Table2data!$B:$O,2,FALSE)</f>
        <v>389</v>
      </c>
      <c r="D45" s="19">
        <f>VLOOKUP(B45,Table2data!$B:$O,3,FALSE)</f>
        <v>9</v>
      </c>
      <c r="E45" s="19">
        <f>VLOOKUP(B45,Table2data!$B:$O,4,FALSE)</f>
        <v>495</v>
      </c>
      <c r="F45" s="19">
        <f>VLOOKUP(B45,Table2data!$B:$O,5,FALSE)</f>
        <v>27</v>
      </c>
      <c r="G45" s="19">
        <f>VLOOKUP(B45,Table2data!$B:$O,6,FALSE)</f>
        <v>125</v>
      </c>
      <c r="H45" s="19">
        <f>VLOOKUP(B45,Table2data!$B:$O,7,FALSE)</f>
        <v>0</v>
      </c>
      <c r="I45" s="18">
        <f>VLOOKUP(B45,Table2data!$B:$O,8,FALSE)</f>
        <v>275</v>
      </c>
      <c r="J45" s="19">
        <f>VLOOKUP(B45,Table2data!$B:$O,9,FALSE)</f>
        <v>5</v>
      </c>
      <c r="K45" s="19">
        <f>VLOOKUP(B45,Table2data!$B:$O,10,FALSE)</f>
        <v>341</v>
      </c>
      <c r="L45" s="19">
        <f>VLOOKUP(B45,Table2data!$B:$O,11,FALSE)</f>
        <v>16</v>
      </c>
      <c r="M45" s="19">
        <f>VLOOKUP(B45,Table2data!$B:$O,12,FALSE)</f>
        <v>98</v>
      </c>
      <c r="N45" s="20">
        <f>VLOOKUP(B45,Table2data!$B:$O,7,FALSE)</f>
        <v>0</v>
      </c>
      <c r="O45" s="19">
        <f>VLOOKUP(B45,Table2data!$B:$O,13,FALSE)</f>
        <v>920</v>
      </c>
      <c r="P45" s="19">
        <f>VLOOKUP(B45,Table2data!$B:$O,14,FALSE)</f>
        <v>1045</v>
      </c>
    </row>
    <row r="46" spans="1:16" ht="15">
      <c r="A46" s="7" t="s">
        <v>248</v>
      </c>
      <c r="B46" s="7" t="s">
        <v>249</v>
      </c>
      <c r="C46" s="16">
        <f>VLOOKUP(B46,Table2data!$B:$O,2,FALSE)</f>
        <v>9</v>
      </c>
      <c r="D46" s="19">
        <f>VLOOKUP(B46,Table2data!$B:$O,3,FALSE)</f>
        <v>3</v>
      </c>
      <c r="E46" s="19">
        <f>VLOOKUP(B46,Table2data!$B:$O,4,FALSE)</f>
        <v>41</v>
      </c>
      <c r="F46" s="19">
        <f>VLOOKUP(B46,Table2data!$B:$O,5,FALSE)</f>
        <v>2</v>
      </c>
      <c r="G46" s="19">
        <f>VLOOKUP(B46,Table2data!$B:$O,6,FALSE)</f>
        <v>16</v>
      </c>
      <c r="H46" s="19">
        <f>VLOOKUP(B46,Table2data!$B:$O,7,FALSE)</f>
        <v>0</v>
      </c>
      <c r="I46" s="18">
        <f>VLOOKUP(B46,Table2data!$B:$O,8,FALSE)</f>
        <v>9</v>
      </c>
      <c r="J46" s="19">
        <f>VLOOKUP(B46,Table2data!$B:$O,9,FALSE)</f>
        <v>3</v>
      </c>
      <c r="K46" s="19">
        <f>VLOOKUP(B46,Table2data!$B:$O,10,FALSE)</f>
        <v>41</v>
      </c>
      <c r="L46" s="19">
        <f>VLOOKUP(B46,Table2data!$B:$O,11,FALSE)</f>
        <v>2</v>
      </c>
      <c r="M46" s="19">
        <f>VLOOKUP(B46,Table2data!$B:$O,12,FALSE)</f>
        <v>16</v>
      </c>
      <c r="N46" s="20">
        <f>VLOOKUP(B46,Table2data!$B:$O,7,FALSE)</f>
        <v>0</v>
      </c>
      <c r="O46" s="19">
        <f>VLOOKUP(B46,Table2data!$B:$O,13,FALSE)</f>
        <v>55</v>
      </c>
      <c r="P46" s="19">
        <f>VLOOKUP(B46,Table2data!$B:$O,14,FALSE)</f>
        <v>71</v>
      </c>
    </row>
    <row r="47" spans="1:16" ht="15">
      <c r="A47" s="7" t="s">
        <v>250</v>
      </c>
      <c r="B47" s="7" t="s">
        <v>251</v>
      </c>
      <c r="C47" s="16">
        <f>VLOOKUP(B47,Table2data!$B:$O,2,FALSE)</f>
        <v>0</v>
      </c>
      <c r="D47" s="19">
        <f>VLOOKUP(B47,Table2data!$B:$O,3,FALSE)</f>
        <v>1</v>
      </c>
      <c r="E47" s="19">
        <f>VLOOKUP(B47,Table2data!$B:$O,4,FALSE)</f>
        <v>10</v>
      </c>
      <c r="F47" s="19">
        <f>VLOOKUP(B47,Table2data!$B:$O,5,FALSE)</f>
        <v>0</v>
      </c>
      <c r="G47" s="19">
        <f>VLOOKUP(B47,Table2data!$B:$O,6,FALSE)</f>
        <v>2</v>
      </c>
      <c r="H47" s="19">
        <f>VLOOKUP(B47,Table2data!$B:$O,7,FALSE)</f>
        <v>0</v>
      </c>
      <c r="I47" s="18">
        <f>VLOOKUP(B47,Table2data!$B:$O,8,FALSE)</f>
        <v>0</v>
      </c>
      <c r="J47" s="19">
        <f>VLOOKUP(B47,Table2data!$B:$O,9,FALSE)</f>
        <v>1</v>
      </c>
      <c r="K47" s="19">
        <f>VLOOKUP(B47,Table2data!$B:$O,10,FALSE)</f>
        <v>10</v>
      </c>
      <c r="L47" s="19">
        <f>VLOOKUP(B47,Table2data!$B:$O,11,FALSE)</f>
        <v>0</v>
      </c>
      <c r="M47" s="19">
        <f>VLOOKUP(B47,Table2data!$B:$O,12,FALSE)</f>
        <v>2</v>
      </c>
      <c r="N47" s="20">
        <f>VLOOKUP(B47,Table2data!$B:$O,7,FALSE)</f>
        <v>0</v>
      </c>
      <c r="O47" s="19">
        <f>VLOOKUP(B47,Table2data!$B:$O,13,FALSE)</f>
        <v>11</v>
      </c>
      <c r="P47" s="19">
        <f>VLOOKUP(B47,Table2data!$B:$O,14,FALSE)</f>
        <v>13</v>
      </c>
    </row>
    <row r="48" spans="1:16" ht="15">
      <c r="A48" s="7" t="s">
        <v>252</v>
      </c>
      <c r="B48" s="7" t="s">
        <v>253</v>
      </c>
      <c r="C48" s="16">
        <f>VLOOKUP(B48,Table2data!$B:$O,2,FALSE)</f>
        <v>2</v>
      </c>
      <c r="D48" s="19">
        <f>VLOOKUP(B48,Table2data!$B:$O,3,FALSE)</f>
        <v>0</v>
      </c>
      <c r="E48" s="19">
        <f>VLOOKUP(B48,Table2data!$B:$O,4,FALSE)</f>
        <v>0</v>
      </c>
      <c r="F48" s="19">
        <f>VLOOKUP(B48,Table2data!$B:$O,5,FALSE)</f>
        <v>0</v>
      </c>
      <c r="G48" s="19">
        <f>VLOOKUP(B48,Table2data!$B:$O,6,FALSE)</f>
        <v>1</v>
      </c>
      <c r="H48" s="19">
        <f>VLOOKUP(B48,Table2data!$B:$O,7,FALSE)</f>
        <v>0</v>
      </c>
      <c r="I48" s="18">
        <f>VLOOKUP(B48,Table2data!$B:$O,8,FALSE)</f>
        <v>2</v>
      </c>
      <c r="J48" s="19">
        <f>VLOOKUP(B48,Table2data!$B:$O,9,FALSE)</f>
        <v>0</v>
      </c>
      <c r="K48" s="19">
        <f>VLOOKUP(B48,Table2data!$B:$O,10,FALSE)</f>
        <v>0</v>
      </c>
      <c r="L48" s="19">
        <f>VLOOKUP(B48,Table2data!$B:$O,11,FALSE)</f>
        <v>0</v>
      </c>
      <c r="M48" s="19">
        <f>VLOOKUP(B48,Table2data!$B:$O,12,FALSE)</f>
        <v>0</v>
      </c>
      <c r="N48" s="20">
        <f>VLOOKUP(B48,Table2data!$B:$O,7,FALSE)</f>
        <v>0</v>
      </c>
      <c r="O48" s="19">
        <f>VLOOKUP(B48,Table2data!$B:$O,13,FALSE)</f>
        <v>2</v>
      </c>
      <c r="P48" s="19">
        <f>VLOOKUP(B48,Table2data!$B:$O,14,FALSE)</f>
        <v>3</v>
      </c>
    </row>
    <row r="49" spans="1:16" ht="15">
      <c r="A49" s="7" t="s">
        <v>254</v>
      </c>
      <c r="B49" s="7" t="s">
        <v>255</v>
      </c>
      <c r="C49" s="16">
        <f>VLOOKUP(B49,Table2data!$B:$O,2,FALSE)</f>
        <v>0</v>
      </c>
      <c r="D49" s="19">
        <f>VLOOKUP(B49,Table2data!$B:$O,3,FALSE)</f>
        <v>0</v>
      </c>
      <c r="E49" s="19">
        <f>VLOOKUP(B49,Table2data!$B:$O,4,FALSE)</f>
        <v>6</v>
      </c>
      <c r="F49" s="19">
        <f>VLOOKUP(B49,Table2data!$B:$O,5,FALSE)</f>
        <v>0</v>
      </c>
      <c r="G49" s="19">
        <f>VLOOKUP(B49,Table2data!$B:$O,6,FALSE)</f>
        <v>0</v>
      </c>
      <c r="H49" s="19">
        <f>VLOOKUP(B49,Table2data!$B:$O,7,FALSE)</f>
        <v>0</v>
      </c>
      <c r="I49" s="18">
        <f>VLOOKUP(B49,Table2data!$B:$O,8,FALSE)</f>
        <v>0</v>
      </c>
      <c r="J49" s="19">
        <f>VLOOKUP(B49,Table2data!$B:$O,9,FALSE)</f>
        <v>0</v>
      </c>
      <c r="K49" s="19">
        <f>VLOOKUP(B49,Table2data!$B:$O,10,FALSE)</f>
        <v>6</v>
      </c>
      <c r="L49" s="19">
        <f>VLOOKUP(B49,Table2data!$B:$O,11,FALSE)</f>
        <v>0</v>
      </c>
      <c r="M49" s="19">
        <f>VLOOKUP(B49,Table2data!$B:$O,12,FALSE)</f>
        <v>0</v>
      </c>
      <c r="N49" s="20">
        <f>VLOOKUP(B49,Table2data!$B:$O,7,FALSE)</f>
        <v>0</v>
      </c>
      <c r="O49" s="19">
        <f>VLOOKUP(B49,Table2data!$B:$O,13,FALSE)</f>
        <v>6</v>
      </c>
      <c r="P49" s="19">
        <f>VLOOKUP(B49,Table2data!$B:$O,14,FALSE)</f>
        <v>6</v>
      </c>
    </row>
    <row r="50" spans="1:16" ht="15">
      <c r="A50" s="7" t="s">
        <v>256</v>
      </c>
      <c r="B50" s="7" t="s">
        <v>257</v>
      </c>
      <c r="C50" s="16">
        <f>VLOOKUP(B50,Table2data!$B:$O,2,FALSE)</f>
        <v>1</v>
      </c>
      <c r="D50" s="19">
        <f>VLOOKUP(B50,Table2data!$B:$O,3,FALSE)</f>
        <v>0</v>
      </c>
      <c r="E50" s="19">
        <f>VLOOKUP(B50,Table2data!$B:$O,4,FALSE)</f>
        <v>5</v>
      </c>
      <c r="F50" s="19">
        <f>VLOOKUP(B50,Table2data!$B:$O,5,FALSE)</f>
        <v>0</v>
      </c>
      <c r="G50" s="19">
        <f>VLOOKUP(B50,Table2data!$B:$O,6,FALSE)</f>
        <v>0</v>
      </c>
      <c r="H50" s="19">
        <f>VLOOKUP(B50,Table2data!$B:$O,7,FALSE)</f>
        <v>0</v>
      </c>
      <c r="I50" s="18">
        <f>VLOOKUP(B50,Table2data!$B:$O,8,FALSE)</f>
        <v>1</v>
      </c>
      <c r="J50" s="19">
        <f>VLOOKUP(B50,Table2data!$B:$O,9,FALSE)</f>
        <v>0</v>
      </c>
      <c r="K50" s="19">
        <f>VLOOKUP(B50,Table2data!$B:$O,10,FALSE)</f>
        <v>4</v>
      </c>
      <c r="L50" s="19">
        <f>VLOOKUP(B50,Table2data!$B:$O,11,FALSE)</f>
        <v>0</v>
      </c>
      <c r="M50" s="19">
        <f>VLOOKUP(B50,Table2data!$B:$O,12,FALSE)</f>
        <v>0</v>
      </c>
      <c r="N50" s="20">
        <f>VLOOKUP(B50,Table2data!$B:$O,7,FALSE)</f>
        <v>0</v>
      </c>
      <c r="O50" s="19">
        <f>VLOOKUP(B50,Table2data!$B:$O,13,FALSE)</f>
        <v>6</v>
      </c>
      <c r="P50" s="19">
        <f>VLOOKUP(B50,Table2data!$B:$O,14,FALSE)</f>
        <v>6</v>
      </c>
    </row>
    <row r="51" spans="1:16" ht="15">
      <c r="A51" s="7" t="s">
        <v>258</v>
      </c>
      <c r="B51" s="7" t="s">
        <v>259</v>
      </c>
      <c r="C51" s="16">
        <f>VLOOKUP(B51,Table2data!$B:$O,2,FALSE)</f>
        <v>0</v>
      </c>
      <c r="D51" s="19">
        <f>VLOOKUP(B51,Table2data!$B:$O,3,FALSE)</f>
        <v>0</v>
      </c>
      <c r="E51" s="19">
        <f>VLOOKUP(B51,Table2data!$B:$O,4,FALSE)</f>
        <v>8</v>
      </c>
      <c r="F51" s="19">
        <f>VLOOKUP(B51,Table2data!$B:$O,5,FALSE)</f>
        <v>0</v>
      </c>
      <c r="G51" s="19">
        <f>VLOOKUP(B51,Table2data!$B:$O,6,FALSE)</f>
        <v>0</v>
      </c>
      <c r="H51" s="19">
        <f>VLOOKUP(B51,Table2data!$B:$O,7,FALSE)</f>
        <v>0</v>
      </c>
      <c r="I51" s="18">
        <f>VLOOKUP(B51,Table2data!$B:$O,8,FALSE)</f>
        <v>0</v>
      </c>
      <c r="J51" s="19">
        <f>VLOOKUP(B51,Table2data!$B:$O,9,FALSE)</f>
        <v>0</v>
      </c>
      <c r="K51" s="19">
        <f>VLOOKUP(B51,Table2data!$B:$O,10,FALSE)</f>
        <v>4</v>
      </c>
      <c r="L51" s="19">
        <f>VLOOKUP(B51,Table2data!$B:$O,11,FALSE)</f>
        <v>0</v>
      </c>
      <c r="M51" s="19">
        <f>VLOOKUP(B51,Table2data!$B:$O,12,FALSE)</f>
        <v>0</v>
      </c>
      <c r="N51" s="20">
        <f>VLOOKUP(B51,Table2data!$B:$O,7,FALSE)</f>
        <v>0</v>
      </c>
      <c r="O51" s="19">
        <f>VLOOKUP(B51,Table2data!$B:$O,13,FALSE)</f>
        <v>8</v>
      </c>
      <c r="P51" s="19">
        <f>VLOOKUP(B51,Table2data!$B:$O,14,FALSE)</f>
        <v>8</v>
      </c>
    </row>
    <row r="52" spans="1:16" ht="15">
      <c r="A52" s="7" t="s">
        <v>260</v>
      </c>
      <c r="B52" s="7" t="s">
        <v>261</v>
      </c>
      <c r="C52" s="16">
        <f>VLOOKUP(B52,Table2data!$B:$O,2,FALSE)</f>
        <v>1</v>
      </c>
      <c r="D52" s="19">
        <f>VLOOKUP(B52,Table2data!$B:$O,3,FALSE)</f>
        <v>0</v>
      </c>
      <c r="E52" s="19">
        <f>VLOOKUP(B52,Table2data!$B:$O,4,FALSE)</f>
        <v>11</v>
      </c>
      <c r="F52" s="19">
        <f>VLOOKUP(B52,Table2data!$B:$O,5,FALSE)</f>
        <v>1</v>
      </c>
      <c r="G52" s="19">
        <f>VLOOKUP(B52,Table2data!$B:$O,6,FALSE)</f>
        <v>1</v>
      </c>
      <c r="H52" s="19">
        <f>VLOOKUP(B52,Table2data!$B:$O,7,FALSE)</f>
        <v>0</v>
      </c>
      <c r="I52" s="18">
        <f>VLOOKUP(B52,Table2data!$B:$O,8,FALSE)</f>
        <v>1</v>
      </c>
      <c r="J52" s="19">
        <f>VLOOKUP(B52,Table2data!$B:$O,9,FALSE)</f>
        <v>0</v>
      </c>
      <c r="K52" s="19">
        <f>VLOOKUP(B52,Table2data!$B:$O,10,FALSE)</f>
        <v>11</v>
      </c>
      <c r="L52" s="19">
        <f>VLOOKUP(B52,Table2data!$B:$O,11,FALSE)</f>
        <v>1</v>
      </c>
      <c r="M52" s="19">
        <f>VLOOKUP(B52,Table2data!$B:$O,12,FALSE)</f>
        <v>1</v>
      </c>
      <c r="N52" s="20">
        <f>VLOOKUP(B52,Table2data!$B:$O,7,FALSE)</f>
        <v>0</v>
      </c>
      <c r="O52" s="19">
        <f>VLOOKUP(B52,Table2data!$B:$O,13,FALSE)</f>
        <v>13</v>
      </c>
      <c r="P52" s="19">
        <f>VLOOKUP(B52,Table2data!$B:$O,14,FALSE)</f>
        <v>14</v>
      </c>
    </row>
    <row r="53" spans="1:16" ht="15">
      <c r="A53" s="7" t="s">
        <v>262</v>
      </c>
      <c r="B53" s="7" t="s">
        <v>263</v>
      </c>
      <c r="C53" s="16">
        <f>VLOOKUP(B53,Table2data!$B:$O,2,FALSE)</f>
        <v>2</v>
      </c>
      <c r="D53" s="19">
        <f>VLOOKUP(B53,Table2data!$B:$O,3,FALSE)</f>
        <v>0</v>
      </c>
      <c r="E53" s="19">
        <f>VLOOKUP(B53,Table2data!$B:$O,4,FALSE)</f>
        <v>2</v>
      </c>
      <c r="F53" s="19">
        <f>VLOOKUP(B53,Table2data!$B:$O,5,FALSE)</f>
        <v>0</v>
      </c>
      <c r="G53" s="19">
        <f>VLOOKUP(B53,Table2data!$B:$O,6,FALSE)</f>
        <v>1</v>
      </c>
      <c r="H53" s="19">
        <f>VLOOKUP(B53,Table2data!$B:$O,7,FALSE)</f>
        <v>0</v>
      </c>
      <c r="I53" s="18">
        <f>VLOOKUP(B53,Table2data!$B:$O,8,FALSE)</f>
        <v>2</v>
      </c>
      <c r="J53" s="19">
        <f>VLOOKUP(B53,Table2data!$B:$O,9,FALSE)</f>
        <v>0</v>
      </c>
      <c r="K53" s="19">
        <f>VLOOKUP(B53,Table2data!$B:$O,10,FALSE)</f>
        <v>1</v>
      </c>
      <c r="L53" s="19">
        <f>VLOOKUP(B53,Table2data!$B:$O,11,FALSE)</f>
        <v>0</v>
      </c>
      <c r="M53" s="19">
        <f>VLOOKUP(B53,Table2data!$B:$O,12,FALSE)</f>
        <v>1</v>
      </c>
      <c r="N53" s="20">
        <f>VLOOKUP(B53,Table2data!$B:$O,7,FALSE)</f>
        <v>0</v>
      </c>
      <c r="O53" s="19">
        <f>VLOOKUP(B53,Table2data!$B:$O,13,FALSE)</f>
        <v>4</v>
      </c>
      <c r="P53" s="19">
        <f>VLOOKUP(B53,Table2data!$B:$O,14,FALSE)</f>
        <v>5</v>
      </c>
    </row>
    <row r="54" spans="1:16" ht="15">
      <c r="A54" s="7" t="s">
        <v>264</v>
      </c>
      <c r="B54" s="7" t="s">
        <v>265</v>
      </c>
      <c r="C54" s="16">
        <f>VLOOKUP(B54,Table2data!$B:$O,2,FALSE)</f>
        <v>2</v>
      </c>
      <c r="D54" s="19">
        <f>VLOOKUP(B54,Table2data!$B:$O,3,FALSE)</f>
        <v>0</v>
      </c>
      <c r="E54" s="19">
        <f>VLOOKUP(B54,Table2data!$B:$O,4,FALSE)</f>
        <v>24</v>
      </c>
      <c r="F54" s="19">
        <f>VLOOKUP(B54,Table2data!$B:$O,5,FALSE)</f>
        <v>0</v>
      </c>
      <c r="G54" s="19">
        <f>VLOOKUP(B54,Table2data!$B:$O,6,FALSE)</f>
        <v>3</v>
      </c>
      <c r="H54" s="19">
        <f>VLOOKUP(B54,Table2data!$B:$O,7,FALSE)</f>
        <v>0</v>
      </c>
      <c r="I54" s="18">
        <f>VLOOKUP(B54,Table2data!$B:$O,8,FALSE)</f>
        <v>2</v>
      </c>
      <c r="J54" s="19">
        <f>VLOOKUP(B54,Table2data!$B:$O,9,FALSE)</f>
        <v>0</v>
      </c>
      <c r="K54" s="19">
        <f>VLOOKUP(B54,Table2data!$B:$O,10,FALSE)</f>
        <v>22</v>
      </c>
      <c r="L54" s="19">
        <f>VLOOKUP(B54,Table2data!$B:$O,11,FALSE)</f>
        <v>0</v>
      </c>
      <c r="M54" s="19">
        <f>VLOOKUP(B54,Table2data!$B:$O,12,FALSE)</f>
        <v>3</v>
      </c>
      <c r="N54" s="20">
        <f>VLOOKUP(B54,Table2data!$B:$O,7,FALSE)</f>
        <v>0</v>
      </c>
      <c r="O54" s="19">
        <f>VLOOKUP(B54,Table2data!$B:$O,13,FALSE)</f>
        <v>26</v>
      </c>
      <c r="P54" s="19">
        <f>VLOOKUP(B54,Table2data!$B:$O,14,FALSE)</f>
        <v>29</v>
      </c>
    </row>
    <row r="55" spans="1:16" ht="15">
      <c r="A55" s="7" t="s">
        <v>266</v>
      </c>
      <c r="B55" s="7" t="s">
        <v>267</v>
      </c>
      <c r="C55" s="16">
        <f>VLOOKUP(B55,Table2data!$B:$O,2,FALSE)</f>
        <v>5</v>
      </c>
      <c r="D55" s="19">
        <f>VLOOKUP(B55,Table2data!$B:$O,3,FALSE)</f>
        <v>0</v>
      </c>
      <c r="E55" s="19">
        <f>VLOOKUP(B55,Table2data!$B:$O,4,FALSE)</f>
        <v>15</v>
      </c>
      <c r="F55" s="19">
        <f>VLOOKUP(B55,Table2data!$B:$O,5,FALSE)</f>
        <v>0</v>
      </c>
      <c r="G55" s="19">
        <f>VLOOKUP(B55,Table2data!$B:$O,6,FALSE)</f>
        <v>5</v>
      </c>
      <c r="H55" s="19">
        <f>VLOOKUP(B55,Table2data!$B:$O,7,FALSE)</f>
        <v>0</v>
      </c>
      <c r="I55" s="18">
        <f>VLOOKUP(B55,Table2data!$B:$O,8,FALSE)</f>
        <v>5</v>
      </c>
      <c r="J55" s="19">
        <f>VLOOKUP(B55,Table2data!$B:$O,9,FALSE)</f>
        <v>0</v>
      </c>
      <c r="K55" s="19">
        <f>VLOOKUP(B55,Table2data!$B:$O,10,FALSE)</f>
        <v>14</v>
      </c>
      <c r="L55" s="19">
        <f>VLOOKUP(B55,Table2data!$B:$O,11,FALSE)</f>
        <v>0</v>
      </c>
      <c r="M55" s="19">
        <f>VLOOKUP(B55,Table2data!$B:$O,12,FALSE)</f>
        <v>1</v>
      </c>
      <c r="N55" s="20">
        <f>VLOOKUP(B55,Table2data!$B:$O,7,FALSE)</f>
        <v>0</v>
      </c>
      <c r="O55" s="19">
        <f>VLOOKUP(B55,Table2data!$B:$O,13,FALSE)</f>
        <v>20</v>
      </c>
      <c r="P55" s="19">
        <f>VLOOKUP(B55,Table2data!$B:$O,14,FALSE)</f>
        <v>25</v>
      </c>
    </row>
    <row r="56" spans="1:16" ht="15">
      <c r="A56" s="7" t="s">
        <v>268</v>
      </c>
      <c r="B56" s="7" t="s">
        <v>269</v>
      </c>
      <c r="C56" s="16">
        <f>VLOOKUP(B56,Table2data!$B:$O,2,FALSE)</f>
        <v>16</v>
      </c>
      <c r="D56" s="19">
        <f>VLOOKUP(B56,Table2data!$B:$O,3,FALSE)</f>
        <v>0</v>
      </c>
      <c r="E56" s="19">
        <f>VLOOKUP(B56,Table2data!$B:$O,4,FALSE)</f>
        <v>0</v>
      </c>
      <c r="F56" s="19">
        <f>VLOOKUP(B56,Table2data!$B:$O,5,FALSE)</f>
        <v>6</v>
      </c>
      <c r="G56" s="19">
        <f>VLOOKUP(B56,Table2data!$B:$O,6,FALSE)</f>
        <v>2</v>
      </c>
      <c r="H56" s="19">
        <f>VLOOKUP(B56,Table2data!$B:$O,7,FALSE)</f>
        <v>0</v>
      </c>
      <c r="I56" s="18">
        <f>VLOOKUP(B56,Table2data!$B:$O,8,FALSE)</f>
        <v>16</v>
      </c>
      <c r="J56" s="19">
        <f>VLOOKUP(B56,Table2data!$B:$O,9,FALSE)</f>
        <v>0</v>
      </c>
      <c r="K56" s="19">
        <f>VLOOKUP(B56,Table2data!$B:$O,10,FALSE)</f>
        <v>0</v>
      </c>
      <c r="L56" s="19">
        <f>VLOOKUP(B56,Table2data!$B:$O,11,FALSE)</f>
        <v>6</v>
      </c>
      <c r="M56" s="19">
        <f>VLOOKUP(B56,Table2data!$B:$O,12,FALSE)</f>
        <v>2</v>
      </c>
      <c r="N56" s="20">
        <f>VLOOKUP(B56,Table2data!$B:$O,7,FALSE)</f>
        <v>0</v>
      </c>
      <c r="O56" s="19">
        <f>VLOOKUP(B56,Table2data!$B:$O,13,FALSE)</f>
        <v>22</v>
      </c>
      <c r="P56" s="19">
        <f>VLOOKUP(B56,Table2data!$B:$O,14,FALSE)</f>
        <v>24</v>
      </c>
    </row>
    <row r="57" spans="1:16" ht="15">
      <c r="A57" s="7" t="s">
        <v>270</v>
      </c>
      <c r="B57" s="7" t="s">
        <v>271</v>
      </c>
      <c r="C57" s="16">
        <f>VLOOKUP(B57,Table2data!$B:$O,2,FALSE)</f>
        <v>42</v>
      </c>
      <c r="D57" s="19">
        <f>VLOOKUP(B57,Table2data!$B:$O,3,FALSE)</f>
        <v>22</v>
      </c>
      <c r="E57" s="19">
        <f>VLOOKUP(B57,Table2data!$B:$O,4,FALSE)</f>
        <v>0</v>
      </c>
      <c r="F57" s="19">
        <f>VLOOKUP(B57,Table2data!$B:$O,5,FALSE)</f>
        <v>20</v>
      </c>
      <c r="G57" s="19">
        <f>VLOOKUP(B57,Table2data!$B:$O,6,FALSE)</f>
        <v>44</v>
      </c>
      <c r="H57" s="19">
        <f>VLOOKUP(B57,Table2data!$B:$O,7,FALSE)</f>
        <v>0</v>
      </c>
      <c r="I57" s="18">
        <f>VLOOKUP(B57,Table2data!$B:$O,8,FALSE)</f>
        <v>42</v>
      </c>
      <c r="J57" s="19">
        <f>VLOOKUP(B57,Table2data!$B:$O,9,FALSE)</f>
        <v>22</v>
      </c>
      <c r="K57" s="19">
        <f>VLOOKUP(B57,Table2data!$B:$O,10,FALSE)</f>
        <v>0</v>
      </c>
      <c r="L57" s="19">
        <f>VLOOKUP(B57,Table2data!$B:$O,11,FALSE)</f>
        <v>20</v>
      </c>
      <c r="M57" s="19">
        <f>VLOOKUP(B57,Table2data!$B:$O,12,FALSE)</f>
        <v>44</v>
      </c>
      <c r="N57" s="20">
        <f>VLOOKUP(B57,Table2data!$B:$O,7,FALSE)</f>
        <v>0</v>
      </c>
      <c r="O57" s="19">
        <f>VLOOKUP(B57,Table2data!$B:$O,13,FALSE)</f>
        <v>84</v>
      </c>
      <c r="P57" s="19">
        <f>VLOOKUP(B57,Table2data!$B:$O,14,FALSE)</f>
        <v>128</v>
      </c>
    </row>
    <row r="58" spans="1:16" ht="15">
      <c r="A58" s="7" t="s">
        <v>272</v>
      </c>
      <c r="B58" s="7" t="s">
        <v>273</v>
      </c>
      <c r="C58" s="16">
        <f>VLOOKUP(B58,Table2data!$B:$O,2,FALSE)</f>
        <v>6</v>
      </c>
      <c r="D58" s="19">
        <f>VLOOKUP(B58,Table2data!$B:$O,3,FALSE)</f>
        <v>18</v>
      </c>
      <c r="E58" s="19">
        <f>VLOOKUP(B58,Table2data!$B:$O,4,FALSE)</f>
        <v>26</v>
      </c>
      <c r="F58" s="19">
        <f>VLOOKUP(B58,Table2data!$B:$O,5,FALSE)</f>
        <v>7</v>
      </c>
      <c r="G58" s="19">
        <f>VLOOKUP(B58,Table2data!$B:$O,6,FALSE)</f>
        <v>11</v>
      </c>
      <c r="H58" s="19">
        <f>VLOOKUP(B58,Table2data!$B:$O,7,FALSE)</f>
        <v>0</v>
      </c>
      <c r="I58" s="18">
        <f>VLOOKUP(B58,Table2data!$B:$O,8,FALSE)</f>
        <v>4</v>
      </c>
      <c r="J58" s="19">
        <f>VLOOKUP(B58,Table2data!$B:$O,9,FALSE)</f>
        <v>17</v>
      </c>
      <c r="K58" s="19">
        <f>VLOOKUP(B58,Table2data!$B:$O,10,FALSE)</f>
        <v>23</v>
      </c>
      <c r="L58" s="19">
        <f>VLOOKUP(B58,Table2data!$B:$O,11,FALSE)</f>
        <v>7</v>
      </c>
      <c r="M58" s="19">
        <f>VLOOKUP(B58,Table2data!$B:$O,12,FALSE)</f>
        <v>6</v>
      </c>
      <c r="N58" s="20">
        <f>VLOOKUP(B58,Table2data!$B:$O,7,FALSE)</f>
        <v>0</v>
      </c>
      <c r="O58" s="19">
        <f>VLOOKUP(B58,Table2data!$B:$O,13,FALSE)</f>
        <v>57</v>
      </c>
      <c r="P58" s="19">
        <f>VLOOKUP(B58,Table2data!$B:$O,14,FALSE)</f>
        <v>68</v>
      </c>
    </row>
    <row r="59" spans="1:16" ht="15">
      <c r="A59" s="7" t="s">
        <v>274</v>
      </c>
      <c r="B59" s="7" t="s">
        <v>275</v>
      </c>
      <c r="C59" s="16">
        <f>VLOOKUP(B59,Table2data!$B:$O,2,FALSE)</f>
        <v>7</v>
      </c>
      <c r="D59" s="19">
        <f>VLOOKUP(B59,Table2data!$B:$O,3,FALSE)</f>
        <v>14</v>
      </c>
      <c r="E59" s="19">
        <f>VLOOKUP(B59,Table2data!$B:$O,4,FALSE)</f>
        <v>48</v>
      </c>
      <c r="F59" s="19">
        <f>VLOOKUP(B59,Table2data!$B:$O,5,FALSE)</f>
        <v>11</v>
      </c>
      <c r="G59" s="19">
        <f>VLOOKUP(B59,Table2data!$B:$O,6,FALSE)</f>
        <v>15</v>
      </c>
      <c r="H59" s="19">
        <f>VLOOKUP(B59,Table2data!$B:$O,7,FALSE)</f>
        <v>1</v>
      </c>
      <c r="I59" s="18">
        <f>VLOOKUP(B59,Table2data!$B:$O,8,FALSE)</f>
        <v>7</v>
      </c>
      <c r="J59" s="19">
        <f>VLOOKUP(B59,Table2data!$B:$O,9,FALSE)</f>
        <v>13</v>
      </c>
      <c r="K59" s="19">
        <f>VLOOKUP(B59,Table2data!$B:$O,10,FALSE)</f>
        <v>40</v>
      </c>
      <c r="L59" s="19">
        <f>VLOOKUP(B59,Table2data!$B:$O,11,FALSE)</f>
        <v>8</v>
      </c>
      <c r="M59" s="19">
        <f>VLOOKUP(B59,Table2data!$B:$O,12,FALSE)</f>
        <v>12</v>
      </c>
      <c r="N59" s="20">
        <f>VLOOKUP(B59,Table2data!$B:$O,7,FALSE)</f>
        <v>1</v>
      </c>
      <c r="O59" s="19">
        <f>VLOOKUP(B59,Table2data!$B:$O,13,FALSE)</f>
        <v>81</v>
      </c>
      <c r="P59" s="19">
        <f>VLOOKUP(B59,Table2data!$B:$O,14,FALSE)</f>
        <v>96</v>
      </c>
    </row>
    <row r="60" spans="1:16" ht="15">
      <c r="A60" s="7" t="s">
        <v>276</v>
      </c>
      <c r="B60" s="7" t="s">
        <v>277</v>
      </c>
      <c r="C60" s="84">
        <f>VLOOKUP(B60,Table2data!$B:$O,2,FALSE)</f>
        <v>1</v>
      </c>
      <c r="D60" s="85">
        <f>VLOOKUP(B60,Table2data!$B:$O,3,FALSE)</f>
        <v>0</v>
      </c>
      <c r="E60" s="85">
        <f>VLOOKUP(B60,Table2data!$B:$O,4,FALSE)</f>
        <v>1</v>
      </c>
      <c r="F60" s="85">
        <f>VLOOKUP(B60,Table2data!$B:$O,5,FALSE)</f>
        <v>0</v>
      </c>
      <c r="G60" s="85">
        <f>VLOOKUP(B60,Table2data!$B:$O,6,FALSE)</f>
        <v>0</v>
      </c>
      <c r="H60" s="85">
        <f>VLOOKUP(B60,Table2data!$B:$O,7,FALSE)</f>
        <v>0</v>
      </c>
      <c r="I60" s="87">
        <f>VLOOKUP(B60,Table2data!$B:$O,8,FALSE)</f>
        <v>0</v>
      </c>
      <c r="J60" s="85">
        <f>VLOOKUP(B60,Table2data!$B:$O,9,FALSE)</f>
        <v>0</v>
      </c>
      <c r="K60" s="85">
        <f>VLOOKUP(B60,Table2data!$B:$O,10,FALSE)</f>
        <v>1</v>
      </c>
      <c r="L60" s="85">
        <f>VLOOKUP(B60,Table2data!$B:$O,11,FALSE)</f>
        <v>0</v>
      </c>
      <c r="M60" s="85">
        <f>VLOOKUP(B60,Table2data!$B:$O,12,FALSE)</f>
        <v>0</v>
      </c>
      <c r="N60" s="88">
        <f>VLOOKUP(B60,Table2data!$B:$O,7,FALSE)</f>
        <v>0</v>
      </c>
      <c r="O60" s="85">
        <f>VLOOKUP(B60,Table2data!$B:$O,13,FALSE)</f>
        <v>2</v>
      </c>
      <c r="P60" s="85">
        <f>VLOOKUP(B60,Table2data!$B:$O,14,FALSE)</f>
        <v>2</v>
      </c>
    </row>
    <row r="61" spans="1:16" ht="15">
      <c r="A61" s="8"/>
      <c r="B61" s="8"/>
      <c r="C61" s="22">
        <f>SUM(C45:C60)</f>
        <v>483</v>
      </c>
      <c r="D61" s="22">
        <f aca="true" t="shared" si="4" ref="D61:P61">SUM(D45:D60)</f>
        <v>67</v>
      </c>
      <c r="E61" s="22">
        <f t="shared" si="4"/>
        <v>692</v>
      </c>
      <c r="F61" s="22">
        <f>SUM(F45:F60)</f>
        <v>74</v>
      </c>
      <c r="G61" s="22">
        <f>SUM(G45:G60)</f>
        <v>226</v>
      </c>
      <c r="H61" s="22">
        <f t="shared" si="4"/>
        <v>1</v>
      </c>
      <c r="I61" s="21">
        <f t="shared" si="4"/>
        <v>366</v>
      </c>
      <c r="J61" s="22">
        <f t="shared" si="4"/>
        <v>61</v>
      </c>
      <c r="K61" s="22">
        <f t="shared" si="4"/>
        <v>518</v>
      </c>
      <c r="L61" s="22">
        <f t="shared" si="4"/>
        <v>60</v>
      </c>
      <c r="M61" s="22">
        <f>SUM(M45:M60)</f>
        <v>186</v>
      </c>
      <c r="N61" s="23">
        <f t="shared" si="4"/>
        <v>1</v>
      </c>
      <c r="O61" s="22">
        <f t="shared" si="4"/>
        <v>1317</v>
      </c>
      <c r="P61" s="22">
        <f t="shared" si="4"/>
        <v>1543</v>
      </c>
    </row>
    <row r="62" spans="1:16" ht="15">
      <c r="A62" s="8"/>
      <c r="B62" s="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5">
      <c r="A63" s="9" t="s">
        <v>278</v>
      </c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5">
      <c r="A64" s="7" t="s">
        <v>279</v>
      </c>
      <c r="B64" s="7" t="s">
        <v>280</v>
      </c>
      <c r="C64" s="16">
        <f>VLOOKUP(B64,Table2data!$B:$O,2,FALSE)</f>
        <v>231</v>
      </c>
      <c r="D64" s="19">
        <f>VLOOKUP(B64,Table2data!$B:$O,3,FALSE)</f>
        <v>9</v>
      </c>
      <c r="E64" s="19">
        <f>VLOOKUP(B64,Table2data!$B:$O,4,FALSE)</f>
        <v>0</v>
      </c>
      <c r="F64" s="19">
        <f>VLOOKUP(B64,Table2data!$B:$O,5,FALSE)</f>
        <v>13</v>
      </c>
      <c r="G64" s="19">
        <f>VLOOKUP(B64,Table2data!$B:$O,6,FALSE)</f>
        <v>11</v>
      </c>
      <c r="H64" s="19">
        <f>VLOOKUP(B64,Table2data!$B:$O,7,FALSE)</f>
        <v>2</v>
      </c>
      <c r="I64" s="18">
        <f>VLOOKUP(B64,Table2data!$B:$O,8,FALSE)</f>
        <v>231</v>
      </c>
      <c r="J64" s="19">
        <f>VLOOKUP(B64,Table2data!$B:$O,9,FALSE)</f>
        <v>9</v>
      </c>
      <c r="K64" s="19">
        <f>VLOOKUP(B64,Table2data!$B:$O,10,FALSE)</f>
        <v>0</v>
      </c>
      <c r="L64" s="19">
        <f>VLOOKUP(B64,Table2data!$B:$O,11,FALSE)</f>
        <v>13</v>
      </c>
      <c r="M64" s="19">
        <f>VLOOKUP(B64,Table2data!$B:$O,12,FALSE)</f>
        <v>11</v>
      </c>
      <c r="N64" s="20">
        <f>VLOOKUP(B64,Table2data!$B:$O,7,FALSE)</f>
        <v>2</v>
      </c>
      <c r="O64" s="19">
        <f>VLOOKUP(B64,Table2data!$B:$O,13,FALSE)</f>
        <v>255</v>
      </c>
      <c r="P64" s="19">
        <f>VLOOKUP(B64,Table2data!$B:$O,14,FALSE)</f>
        <v>266</v>
      </c>
    </row>
    <row r="65" spans="1:16" ht="15">
      <c r="A65" s="7" t="s">
        <v>281</v>
      </c>
      <c r="B65" s="7" t="s">
        <v>282</v>
      </c>
      <c r="C65" s="16">
        <f>VLOOKUP(B65,Table2data!$B:$O,2,FALSE)</f>
        <v>0</v>
      </c>
      <c r="D65" s="19">
        <f>VLOOKUP(B65,Table2data!$B:$O,3,FALSE)</f>
        <v>1</v>
      </c>
      <c r="E65" s="19">
        <f>VLOOKUP(B65,Table2data!$B:$O,4,FALSE)</f>
        <v>0</v>
      </c>
      <c r="F65" s="19">
        <f>VLOOKUP(B65,Table2data!$B:$O,5,FALSE)</f>
        <v>2</v>
      </c>
      <c r="G65" s="19">
        <f>VLOOKUP(B65,Table2data!$B:$O,6,FALSE)</f>
        <v>3</v>
      </c>
      <c r="H65" s="19">
        <f>VLOOKUP(B65,Table2data!$B:$O,7,FALSE)</f>
        <v>0</v>
      </c>
      <c r="I65" s="18">
        <f>VLOOKUP(B65,Table2data!$B:$O,8,FALSE)</f>
        <v>0</v>
      </c>
      <c r="J65" s="19">
        <f>VLOOKUP(B65,Table2data!$B:$O,9,FALSE)</f>
        <v>1</v>
      </c>
      <c r="K65" s="19">
        <f>VLOOKUP(B65,Table2data!$B:$O,10,FALSE)</f>
        <v>0</v>
      </c>
      <c r="L65" s="19">
        <f>VLOOKUP(B65,Table2data!$B:$O,11,FALSE)</f>
        <v>2</v>
      </c>
      <c r="M65" s="19">
        <f>VLOOKUP(B65,Table2data!$B:$O,12,FALSE)</f>
        <v>3</v>
      </c>
      <c r="N65" s="20">
        <f>VLOOKUP(B65,Table2data!$B:$O,7,FALSE)</f>
        <v>0</v>
      </c>
      <c r="O65" s="19">
        <f>VLOOKUP(B65,Table2data!$B:$O,13,FALSE)</f>
        <v>3</v>
      </c>
      <c r="P65" s="19">
        <f>VLOOKUP(B65,Table2data!$B:$O,14,FALSE)</f>
        <v>6</v>
      </c>
    </row>
    <row r="66" spans="1:16" ht="15">
      <c r="A66" s="7" t="s">
        <v>283</v>
      </c>
      <c r="B66" s="7" t="s">
        <v>284</v>
      </c>
      <c r="C66" s="16">
        <f>VLOOKUP(B66,Table2data!$B:$O,2,FALSE)</f>
        <v>117</v>
      </c>
      <c r="D66" s="19">
        <f>VLOOKUP(B66,Table2data!$B:$O,3,FALSE)</f>
        <v>6</v>
      </c>
      <c r="E66" s="19">
        <f>VLOOKUP(B66,Table2data!$B:$O,4,FALSE)</f>
        <v>0</v>
      </c>
      <c r="F66" s="19">
        <f>VLOOKUP(B66,Table2data!$B:$O,5,FALSE)</f>
        <v>10</v>
      </c>
      <c r="G66" s="19">
        <f>VLOOKUP(B66,Table2data!$B:$O,6,FALSE)</f>
        <v>4</v>
      </c>
      <c r="H66" s="19">
        <f>VLOOKUP(B66,Table2data!$B:$O,7,FALSE)</f>
        <v>0</v>
      </c>
      <c r="I66" s="18">
        <f>VLOOKUP(B66,Table2data!$B:$O,8,FALSE)</f>
        <v>101</v>
      </c>
      <c r="J66" s="19">
        <f>VLOOKUP(B66,Table2data!$B:$O,9,FALSE)</f>
        <v>5</v>
      </c>
      <c r="K66" s="19">
        <f>VLOOKUP(B66,Table2data!$B:$O,10,FALSE)</f>
        <v>0</v>
      </c>
      <c r="L66" s="19">
        <f>VLOOKUP(B66,Table2data!$B:$O,11,FALSE)</f>
        <v>9</v>
      </c>
      <c r="M66" s="19">
        <f>VLOOKUP(B66,Table2data!$B:$O,12,FALSE)</f>
        <v>2</v>
      </c>
      <c r="N66" s="20">
        <f>VLOOKUP(B66,Table2data!$B:$O,7,FALSE)</f>
        <v>0</v>
      </c>
      <c r="O66" s="19">
        <f>VLOOKUP(B66,Table2data!$B:$O,13,FALSE)</f>
        <v>133</v>
      </c>
      <c r="P66" s="19">
        <f>VLOOKUP(B66,Table2data!$B:$O,14,FALSE)</f>
        <v>137</v>
      </c>
    </row>
    <row r="67" spans="1:16" ht="15">
      <c r="A67" s="7" t="s">
        <v>285</v>
      </c>
      <c r="B67" s="7" t="s">
        <v>286</v>
      </c>
      <c r="C67" s="16">
        <f>VLOOKUP(B67,Table2data!$B:$O,2,FALSE)</f>
        <v>22</v>
      </c>
      <c r="D67" s="19">
        <f>VLOOKUP(B67,Table2data!$B:$O,3,FALSE)</f>
        <v>1</v>
      </c>
      <c r="E67" s="19">
        <f>VLOOKUP(B67,Table2data!$B:$O,4,FALSE)</f>
        <v>0</v>
      </c>
      <c r="F67" s="19">
        <f>VLOOKUP(B67,Table2data!$B:$O,5,FALSE)</f>
        <v>9</v>
      </c>
      <c r="G67" s="19">
        <f>VLOOKUP(B67,Table2data!$B:$O,6,FALSE)</f>
        <v>4</v>
      </c>
      <c r="H67" s="19">
        <f>VLOOKUP(B67,Table2data!$B:$O,7,FALSE)</f>
        <v>0</v>
      </c>
      <c r="I67" s="18">
        <f>VLOOKUP(B67,Table2data!$B:$O,8,FALSE)</f>
        <v>21</v>
      </c>
      <c r="J67" s="19">
        <f>VLOOKUP(B67,Table2data!$B:$O,9,FALSE)</f>
        <v>1</v>
      </c>
      <c r="K67" s="19">
        <f>VLOOKUP(B67,Table2data!$B:$O,10,FALSE)</f>
        <v>0</v>
      </c>
      <c r="L67" s="19">
        <f>VLOOKUP(B67,Table2data!$B:$O,11,FALSE)</f>
        <v>8</v>
      </c>
      <c r="M67" s="19">
        <f>VLOOKUP(B67,Table2data!$B:$O,12,FALSE)</f>
        <v>4</v>
      </c>
      <c r="N67" s="20">
        <f>VLOOKUP(B67,Table2data!$B:$O,7,FALSE)</f>
        <v>0</v>
      </c>
      <c r="O67" s="19">
        <f>VLOOKUP(B67,Table2data!$B:$O,13,FALSE)</f>
        <v>32</v>
      </c>
      <c r="P67" s="19">
        <f>VLOOKUP(B67,Table2data!$B:$O,14,FALSE)</f>
        <v>36</v>
      </c>
    </row>
    <row r="68" spans="1:16" ht="15">
      <c r="A68" s="7" t="s">
        <v>287</v>
      </c>
      <c r="B68" s="7" t="s">
        <v>288</v>
      </c>
      <c r="C68" s="16">
        <f>VLOOKUP(B68,Table2data!$B:$O,2,FALSE)</f>
        <v>52</v>
      </c>
      <c r="D68" s="19">
        <f>VLOOKUP(B68,Table2data!$B:$O,3,FALSE)</f>
        <v>1</v>
      </c>
      <c r="E68" s="19">
        <f>VLOOKUP(B68,Table2data!$B:$O,4,FALSE)</f>
        <v>0</v>
      </c>
      <c r="F68" s="19">
        <f>VLOOKUP(B68,Table2data!$B:$O,5,FALSE)</f>
        <v>2</v>
      </c>
      <c r="G68" s="19">
        <f>VLOOKUP(B68,Table2data!$B:$O,6,FALSE)</f>
        <v>0</v>
      </c>
      <c r="H68" s="19">
        <f>VLOOKUP(B68,Table2data!$B:$O,7,FALSE)</f>
        <v>0</v>
      </c>
      <c r="I68" s="18">
        <f>VLOOKUP(B68,Table2data!$B:$O,8,FALSE)</f>
        <v>49</v>
      </c>
      <c r="J68" s="19">
        <f>VLOOKUP(B68,Table2data!$B:$O,9,FALSE)</f>
        <v>1</v>
      </c>
      <c r="K68" s="19">
        <f>VLOOKUP(B68,Table2data!$B:$O,10,FALSE)</f>
        <v>0</v>
      </c>
      <c r="L68" s="19">
        <f>VLOOKUP(B68,Table2data!$B:$O,11,FALSE)</f>
        <v>2</v>
      </c>
      <c r="M68" s="19">
        <f>VLOOKUP(B68,Table2data!$B:$O,12,FALSE)</f>
        <v>0</v>
      </c>
      <c r="N68" s="20">
        <f>VLOOKUP(B68,Table2data!$B:$O,7,FALSE)</f>
        <v>0</v>
      </c>
      <c r="O68" s="19">
        <f>VLOOKUP(B68,Table2data!$B:$O,13,FALSE)</f>
        <v>55</v>
      </c>
      <c r="P68" s="19">
        <f>VLOOKUP(B68,Table2data!$B:$O,14,FALSE)</f>
        <v>55</v>
      </c>
    </row>
    <row r="69" spans="1:16" ht="15">
      <c r="A69" s="7" t="s">
        <v>289</v>
      </c>
      <c r="B69" s="7" t="s">
        <v>290</v>
      </c>
      <c r="C69" s="84">
        <f>VLOOKUP(B69,Table2data!$B:$O,2,FALSE)</f>
        <v>108</v>
      </c>
      <c r="D69" s="85">
        <f>VLOOKUP(B69,Table2data!$B:$O,3,FALSE)</f>
        <v>44</v>
      </c>
      <c r="E69" s="85">
        <f>VLOOKUP(B69,Table2data!$B:$O,4,FALSE)</f>
        <v>7</v>
      </c>
      <c r="F69" s="85">
        <f>VLOOKUP(B69,Table2data!$B:$O,5,FALSE)</f>
        <v>35</v>
      </c>
      <c r="G69" s="85">
        <f>VLOOKUP(B69,Table2data!$B:$O,6,FALSE)</f>
        <v>62</v>
      </c>
      <c r="H69" s="85">
        <f>VLOOKUP(B69,Table2data!$B:$O,7,FALSE)</f>
        <v>0</v>
      </c>
      <c r="I69" s="87">
        <f>VLOOKUP(B69,Table2data!$B:$O,8,FALSE)</f>
        <v>108</v>
      </c>
      <c r="J69" s="85">
        <f>VLOOKUP(B69,Table2data!$B:$O,9,FALSE)</f>
        <v>44</v>
      </c>
      <c r="K69" s="85">
        <f>VLOOKUP(B69,Table2data!$B:$O,10,FALSE)</f>
        <v>7</v>
      </c>
      <c r="L69" s="85">
        <f>VLOOKUP(B69,Table2data!$B:$O,11,FALSE)</f>
        <v>35</v>
      </c>
      <c r="M69" s="85">
        <f>VLOOKUP(B69,Table2data!$B:$O,12,FALSE)</f>
        <v>62</v>
      </c>
      <c r="N69" s="88">
        <f>VLOOKUP(B69,Table2data!$B:$O,7,FALSE)</f>
        <v>0</v>
      </c>
      <c r="O69" s="85">
        <f>VLOOKUP(B69,Table2data!$B:$O,13,FALSE)</f>
        <v>194</v>
      </c>
      <c r="P69" s="85">
        <f>VLOOKUP(B69,Table2data!$B:$O,14,FALSE)</f>
        <v>256</v>
      </c>
    </row>
    <row r="70" spans="1:16" ht="15">
      <c r="A70" s="8"/>
      <c r="B70" s="8"/>
      <c r="C70" s="22">
        <f>SUM(C64:C69)</f>
        <v>530</v>
      </c>
      <c r="D70" s="22">
        <f aca="true" t="shared" si="5" ref="D70:P70">SUM(D64:D69)</f>
        <v>62</v>
      </c>
      <c r="E70" s="22">
        <f t="shared" si="5"/>
        <v>7</v>
      </c>
      <c r="F70" s="22">
        <f t="shared" si="5"/>
        <v>71</v>
      </c>
      <c r="G70" s="22">
        <f t="shared" si="5"/>
        <v>84</v>
      </c>
      <c r="H70" s="22">
        <f t="shared" si="5"/>
        <v>2</v>
      </c>
      <c r="I70" s="21">
        <f t="shared" si="5"/>
        <v>510</v>
      </c>
      <c r="J70" s="22">
        <f t="shared" si="5"/>
        <v>61</v>
      </c>
      <c r="K70" s="22">
        <f t="shared" si="5"/>
        <v>7</v>
      </c>
      <c r="L70" s="22">
        <f t="shared" si="5"/>
        <v>69</v>
      </c>
      <c r="M70" s="22">
        <f t="shared" si="5"/>
        <v>82</v>
      </c>
      <c r="N70" s="23">
        <f t="shared" si="5"/>
        <v>2</v>
      </c>
      <c r="O70" s="22">
        <f t="shared" si="5"/>
        <v>672</v>
      </c>
      <c r="P70" s="22">
        <f t="shared" si="5"/>
        <v>756</v>
      </c>
    </row>
    <row r="71" spans="1:16" ht="15">
      <c r="A71" s="8"/>
      <c r="B71" s="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">
      <c r="A72" s="9">
        <v>1997</v>
      </c>
      <c r="B72" s="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">
      <c r="A73" s="7" t="s">
        <v>291</v>
      </c>
      <c r="B73" s="7" t="s">
        <v>292</v>
      </c>
      <c r="C73" s="16">
        <f>VLOOKUP(B73,Table2data!$B:$O,2,FALSE)</f>
        <v>2</v>
      </c>
      <c r="D73" s="19">
        <f>VLOOKUP(B73,Table2data!$B:$O,3,FALSE)</f>
        <v>0</v>
      </c>
      <c r="E73" s="19">
        <f>VLOOKUP(B73,Table2data!$B:$O,4,FALSE)</f>
        <v>1</v>
      </c>
      <c r="F73" s="19">
        <f>VLOOKUP(B73,Table2data!$B:$O,5,FALSE)</f>
        <v>0</v>
      </c>
      <c r="G73" s="19">
        <f>VLOOKUP(B73,Table2data!$B:$O,6,FALSE)</f>
        <v>0</v>
      </c>
      <c r="H73" s="19">
        <f>VLOOKUP(B73,Table2data!$B:$O,7,FALSE)</f>
        <v>0</v>
      </c>
      <c r="I73" s="18">
        <f>VLOOKUP(B73,Table2data!$B:$O,8,FALSE)</f>
        <v>0</v>
      </c>
      <c r="J73" s="19">
        <f>VLOOKUP(B73,Table2data!$B:$O,9,FALSE)</f>
        <v>0</v>
      </c>
      <c r="K73" s="19">
        <f>VLOOKUP(B73,Table2data!$B:$O,10,FALSE)</f>
        <v>0</v>
      </c>
      <c r="L73" s="19">
        <f>VLOOKUP(B73,Table2data!$B:$O,11,FALSE)</f>
        <v>0</v>
      </c>
      <c r="M73" s="19">
        <f>VLOOKUP(B73,Table2data!$B:$O,12,FALSE)</f>
        <v>0</v>
      </c>
      <c r="N73" s="20">
        <f>VLOOKUP(B73,Table2data!$B:$O,7,FALSE)</f>
        <v>0</v>
      </c>
      <c r="O73" s="19">
        <f>VLOOKUP(B73,Table2data!$B:$O,13,FALSE)</f>
        <v>3</v>
      </c>
      <c r="P73" s="19">
        <f>VLOOKUP(B73,Table2data!$B:$O,14,FALSE)</f>
        <v>3</v>
      </c>
    </row>
    <row r="74" spans="1:16" ht="15">
      <c r="A74" s="7" t="s">
        <v>293</v>
      </c>
      <c r="B74" s="7" t="s">
        <v>294</v>
      </c>
      <c r="C74" s="16">
        <f>VLOOKUP(B74,Table2data!$B:$O,2,FALSE)</f>
        <v>0</v>
      </c>
      <c r="D74" s="19">
        <f>VLOOKUP(B74,Table2data!$B:$O,3,FALSE)</f>
        <v>0</v>
      </c>
      <c r="E74" s="19">
        <f>VLOOKUP(B74,Table2data!$B:$O,4,FALSE)</f>
        <v>1</v>
      </c>
      <c r="F74" s="19">
        <f>VLOOKUP(B74,Table2data!$B:$O,5,FALSE)</f>
        <v>0</v>
      </c>
      <c r="G74" s="19">
        <f>VLOOKUP(B74,Table2data!$B:$O,6,FALSE)</f>
        <v>1</v>
      </c>
      <c r="H74" s="19">
        <f>VLOOKUP(B74,Table2data!$B:$O,7,FALSE)</f>
        <v>0</v>
      </c>
      <c r="I74" s="18">
        <f>VLOOKUP(B74,Table2data!$B:$O,8,FALSE)</f>
        <v>0</v>
      </c>
      <c r="J74" s="19">
        <f>VLOOKUP(B74,Table2data!$B:$O,9,FALSE)</f>
        <v>0</v>
      </c>
      <c r="K74" s="19">
        <f>VLOOKUP(B74,Table2data!$B:$O,10,FALSE)</f>
        <v>0</v>
      </c>
      <c r="L74" s="19">
        <f>VLOOKUP(B74,Table2data!$B:$O,11,FALSE)</f>
        <v>0</v>
      </c>
      <c r="M74" s="19">
        <f>VLOOKUP(B74,Table2data!$B:$O,12,FALSE)</f>
        <v>0</v>
      </c>
      <c r="N74" s="20">
        <f>VLOOKUP(B74,Table2data!$B:$O,7,FALSE)</f>
        <v>0</v>
      </c>
      <c r="O74" s="19">
        <f>VLOOKUP(B74,Table2data!$B:$O,13,FALSE)</f>
        <v>1</v>
      </c>
      <c r="P74" s="19">
        <f>VLOOKUP(B74,Table2data!$B:$O,14,FALSE)</f>
        <v>2</v>
      </c>
    </row>
    <row r="75" spans="1:16" ht="15">
      <c r="A75" s="7" t="s">
        <v>295</v>
      </c>
      <c r="B75" s="7" t="s">
        <v>296</v>
      </c>
      <c r="C75" s="16">
        <f>VLOOKUP(B75,Table2data!$B:$O,2,FALSE)</f>
        <v>5</v>
      </c>
      <c r="D75" s="19">
        <f>VLOOKUP(B75,Table2data!$B:$O,3,FALSE)</f>
        <v>0</v>
      </c>
      <c r="E75" s="19">
        <f>VLOOKUP(B75,Table2data!$B:$O,4,FALSE)</f>
        <v>38</v>
      </c>
      <c r="F75" s="19">
        <f>VLOOKUP(B75,Table2data!$B:$O,5,FALSE)</f>
        <v>0</v>
      </c>
      <c r="G75" s="19">
        <f>VLOOKUP(B75,Table2data!$B:$O,6,FALSE)</f>
        <v>6</v>
      </c>
      <c r="H75" s="19">
        <f>VLOOKUP(B75,Table2data!$B:$O,7,FALSE)</f>
        <v>0</v>
      </c>
      <c r="I75" s="18">
        <f>VLOOKUP(B75,Table2data!$B:$O,8,FALSE)</f>
        <v>5</v>
      </c>
      <c r="J75" s="19">
        <f>VLOOKUP(B75,Table2data!$B:$O,9,FALSE)</f>
        <v>0</v>
      </c>
      <c r="K75" s="19">
        <f>VLOOKUP(B75,Table2data!$B:$O,10,FALSE)</f>
        <v>38</v>
      </c>
      <c r="L75" s="19">
        <f>VLOOKUP(B75,Table2data!$B:$O,11,FALSE)</f>
        <v>0</v>
      </c>
      <c r="M75" s="19">
        <f>VLOOKUP(B75,Table2data!$B:$O,12,FALSE)</f>
        <v>6</v>
      </c>
      <c r="N75" s="20">
        <f>VLOOKUP(B75,Table2data!$B:$O,7,FALSE)</f>
        <v>0</v>
      </c>
      <c r="O75" s="19">
        <f>VLOOKUP(B75,Table2data!$B:$O,13,FALSE)</f>
        <v>43</v>
      </c>
      <c r="P75" s="19">
        <f>VLOOKUP(B75,Table2data!$B:$O,14,FALSE)</f>
        <v>49</v>
      </c>
    </row>
    <row r="76" spans="1:16" ht="15">
      <c r="A76" s="7" t="s">
        <v>297</v>
      </c>
      <c r="B76" s="7" t="s">
        <v>298</v>
      </c>
      <c r="C76" s="16">
        <f>VLOOKUP(B76,Table2data!$B:$O,2,FALSE)</f>
        <v>12</v>
      </c>
      <c r="D76" s="19">
        <f>VLOOKUP(B76,Table2data!$B:$O,3,FALSE)</f>
        <v>0</v>
      </c>
      <c r="E76" s="19">
        <f>VLOOKUP(B76,Table2data!$B:$O,4,FALSE)</f>
        <v>25</v>
      </c>
      <c r="F76" s="19">
        <f>VLOOKUP(B76,Table2data!$B:$O,5,FALSE)</f>
        <v>0</v>
      </c>
      <c r="G76" s="19">
        <f>VLOOKUP(B76,Table2data!$B:$O,6,FALSE)</f>
        <v>6</v>
      </c>
      <c r="H76" s="19">
        <f>VLOOKUP(B76,Table2data!$B:$O,7,FALSE)</f>
        <v>0</v>
      </c>
      <c r="I76" s="18">
        <f>VLOOKUP(B76,Table2data!$B:$O,8,FALSE)</f>
        <v>12</v>
      </c>
      <c r="J76" s="19">
        <f>VLOOKUP(B76,Table2data!$B:$O,9,FALSE)</f>
        <v>0</v>
      </c>
      <c r="K76" s="19">
        <f>VLOOKUP(B76,Table2data!$B:$O,10,FALSE)</f>
        <v>25</v>
      </c>
      <c r="L76" s="19">
        <f>VLOOKUP(B76,Table2data!$B:$O,11,FALSE)</f>
        <v>0</v>
      </c>
      <c r="M76" s="19">
        <f>VLOOKUP(B76,Table2data!$B:$O,12,FALSE)</f>
        <v>6</v>
      </c>
      <c r="N76" s="20">
        <f>VLOOKUP(B76,Table2data!$B:$O,7,FALSE)</f>
        <v>0</v>
      </c>
      <c r="O76" s="19">
        <f>VLOOKUP(B76,Table2data!$B:$O,13,FALSE)</f>
        <v>37</v>
      </c>
      <c r="P76" s="19">
        <f>VLOOKUP(B76,Table2data!$B:$O,14,FALSE)</f>
        <v>43</v>
      </c>
    </row>
    <row r="77" spans="1:16" ht="15">
      <c r="A77" s="7" t="s">
        <v>299</v>
      </c>
      <c r="B77" s="7" t="s">
        <v>300</v>
      </c>
      <c r="C77" s="16">
        <f>VLOOKUP(B77,Table2data!$B:$O,2,FALSE)</f>
        <v>32</v>
      </c>
      <c r="D77" s="19">
        <f>VLOOKUP(B77,Table2data!$B:$O,3,FALSE)</f>
        <v>0</v>
      </c>
      <c r="E77" s="19">
        <f>VLOOKUP(B77,Table2data!$B:$O,4,FALSE)</f>
        <v>36</v>
      </c>
      <c r="F77" s="19">
        <f>VLOOKUP(B77,Table2data!$B:$O,5,FALSE)</f>
        <v>1</v>
      </c>
      <c r="G77" s="19">
        <f>VLOOKUP(B77,Table2data!$B:$O,6,FALSE)</f>
        <v>16</v>
      </c>
      <c r="H77" s="19">
        <f>VLOOKUP(B77,Table2data!$B:$O,7,FALSE)</f>
        <v>0</v>
      </c>
      <c r="I77" s="18">
        <f>VLOOKUP(B77,Table2data!$B:$O,8,FALSE)</f>
        <v>31</v>
      </c>
      <c r="J77" s="19">
        <f>VLOOKUP(B77,Table2data!$B:$O,9,FALSE)</f>
        <v>0</v>
      </c>
      <c r="K77" s="19">
        <f>VLOOKUP(B77,Table2data!$B:$O,10,FALSE)</f>
        <v>35</v>
      </c>
      <c r="L77" s="19">
        <f>VLOOKUP(B77,Table2data!$B:$O,11,FALSE)</f>
        <v>1</v>
      </c>
      <c r="M77" s="19">
        <f>VLOOKUP(B77,Table2data!$B:$O,12,FALSE)</f>
        <v>14</v>
      </c>
      <c r="N77" s="20">
        <f>VLOOKUP(B77,Table2data!$B:$O,7,FALSE)</f>
        <v>0</v>
      </c>
      <c r="O77" s="19">
        <f>VLOOKUP(B77,Table2data!$B:$O,13,FALSE)</f>
        <v>69</v>
      </c>
      <c r="P77" s="19">
        <f>VLOOKUP(B77,Table2data!$B:$O,14,FALSE)</f>
        <v>85</v>
      </c>
    </row>
    <row r="78" spans="1:16" ht="15">
      <c r="A78" s="7" t="s">
        <v>301</v>
      </c>
      <c r="B78" s="7" t="s">
        <v>302</v>
      </c>
      <c r="C78" s="16">
        <f>VLOOKUP(B78,Table2data!$B:$O,2,FALSE)</f>
        <v>38</v>
      </c>
      <c r="D78" s="19">
        <f>VLOOKUP(B78,Table2data!$B:$O,3,FALSE)</f>
        <v>1</v>
      </c>
      <c r="E78" s="19">
        <f>VLOOKUP(B78,Table2data!$B:$O,4,FALSE)</f>
        <v>50</v>
      </c>
      <c r="F78" s="19">
        <f>VLOOKUP(B78,Table2data!$B:$O,5,FALSE)</f>
        <v>2</v>
      </c>
      <c r="G78" s="19">
        <f>VLOOKUP(B78,Table2data!$B:$O,6,FALSE)</f>
        <v>21</v>
      </c>
      <c r="H78" s="19">
        <f>VLOOKUP(B78,Table2data!$B:$O,7,FALSE)</f>
        <v>0</v>
      </c>
      <c r="I78" s="18">
        <f>VLOOKUP(B78,Table2data!$B:$O,8,FALSE)</f>
        <v>30</v>
      </c>
      <c r="J78" s="19">
        <f>VLOOKUP(B78,Table2data!$B:$O,9,FALSE)</f>
        <v>1</v>
      </c>
      <c r="K78" s="19">
        <f>VLOOKUP(B78,Table2data!$B:$O,10,FALSE)</f>
        <v>28</v>
      </c>
      <c r="L78" s="19">
        <f>VLOOKUP(B78,Table2data!$B:$O,11,FALSE)</f>
        <v>0</v>
      </c>
      <c r="M78" s="19">
        <f>VLOOKUP(B78,Table2data!$B:$O,12,FALSE)</f>
        <v>12</v>
      </c>
      <c r="N78" s="20">
        <f>VLOOKUP(B78,Table2data!$B:$O,7,FALSE)</f>
        <v>0</v>
      </c>
      <c r="O78" s="19">
        <f>VLOOKUP(B78,Table2data!$B:$O,13,FALSE)</f>
        <v>91</v>
      </c>
      <c r="P78" s="19">
        <f>VLOOKUP(B78,Table2data!$B:$O,14,FALSE)</f>
        <v>112</v>
      </c>
    </row>
    <row r="79" spans="1:16" ht="15">
      <c r="A79" s="7" t="s">
        <v>305</v>
      </c>
      <c r="B79" s="7" t="s">
        <v>306</v>
      </c>
      <c r="C79" s="84">
        <f>VLOOKUP(B79,Table2data!$B:$O,2,FALSE)</f>
        <v>55</v>
      </c>
      <c r="D79" s="85">
        <f>VLOOKUP(B79,Table2data!$B:$O,3,FALSE)</f>
        <v>2</v>
      </c>
      <c r="E79" s="85">
        <f>VLOOKUP(B79,Table2data!$B:$O,4,FALSE)</f>
        <v>8</v>
      </c>
      <c r="F79" s="85">
        <f>VLOOKUP(B79,Table2data!$B:$O,5,FALSE)</f>
        <v>2</v>
      </c>
      <c r="G79" s="85">
        <f>VLOOKUP(B79,Table2data!$B:$O,6,FALSE)</f>
        <v>3</v>
      </c>
      <c r="H79" s="85">
        <f>VLOOKUP(B79,Table2data!$B:$O,7,FALSE)</f>
        <v>0</v>
      </c>
      <c r="I79" s="87">
        <f>VLOOKUP(B79,Table2data!$B:$O,8,FALSE)</f>
        <v>46</v>
      </c>
      <c r="J79" s="85">
        <f>VLOOKUP(B79,Table2data!$B:$O,9,FALSE)</f>
        <v>1</v>
      </c>
      <c r="K79" s="85">
        <f>VLOOKUP(B79,Table2data!$B:$O,10,FALSE)</f>
        <v>7</v>
      </c>
      <c r="L79" s="85">
        <f>VLOOKUP(B79,Table2data!$B:$O,11,FALSE)</f>
        <v>2</v>
      </c>
      <c r="M79" s="85">
        <f>VLOOKUP(B79,Table2data!$B:$O,12,FALSE)</f>
        <v>3</v>
      </c>
      <c r="N79" s="88">
        <f>VLOOKUP(B79,Table2data!$B:$O,7,FALSE)</f>
        <v>0</v>
      </c>
      <c r="O79" s="85">
        <f>VLOOKUP(B79,Table2data!$B:$O,13,FALSE)</f>
        <v>67</v>
      </c>
      <c r="P79" s="85">
        <f>VLOOKUP(B79,Table2data!$B:$O,14,FALSE)</f>
        <v>70</v>
      </c>
    </row>
    <row r="80" spans="1:16" ht="15">
      <c r="A80" s="8"/>
      <c r="B80" s="8"/>
      <c r="C80" s="22">
        <f aca="true" t="shared" si="6" ref="C80:P80">SUM(C73:C79)</f>
        <v>144</v>
      </c>
      <c r="D80" s="22">
        <f t="shared" si="6"/>
        <v>3</v>
      </c>
      <c r="E80" s="22">
        <f t="shared" si="6"/>
        <v>159</v>
      </c>
      <c r="F80" s="22">
        <f t="shared" si="6"/>
        <v>5</v>
      </c>
      <c r="G80" s="22">
        <f t="shared" si="6"/>
        <v>53</v>
      </c>
      <c r="H80" s="22">
        <f t="shared" si="6"/>
        <v>0</v>
      </c>
      <c r="I80" s="21">
        <f t="shared" si="6"/>
        <v>124</v>
      </c>
      <c r="J80" s="22">
        <f t="shared" si="6"/>
        <v>2</v>
      </c>
      <c r="K80" s="22">
        <f t="shared" si="6"/>
        <v>133</v>
      </c>
      <c r="L80" s="22">
        <f t="shared" si="6"/>
        <v>3</v>
      </c>
      <c r="M80" s="22">
        <f t="shared" si="6"/>
        <v>41</v>
      </c>
      <c r="N80" s="23">
        <f t="shared" si="6"/>
        <v>0</v>
      </c>
      <c r="O80" s="22">
        <f t="shared" si="6"/>
        <v>311</v>
      </c>
      <c r="P80" s="22">
        <f t="shared" si="6"/>
        <v>364</v>
      </c>
    </row>
    <row r="81" spans="1:16" ht="15">
      <c r="A81" s="8"/>
      <c r="B81" s="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">
      <c r="A82" s="9">
        <v>1998</v>
      </c>
      <c r="B82" s="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5">
      <c r="A83" s="7" t="s">
        <v>307</v>
      </c>
      <c r="B83" s="7" t="s">
        <v>308</v>
      </c>
      <c r="C83" s="16">
        <f>VLOOKUP(B83,Table2data!$B:$O,2,FALSE)</f>
        <v>14</v>
      </c>
      <c r="D83" s="19">
        <f>VLOOKUP(B83,Table2data!$B:$O,3,FALSE)</f>
        <v>0</v>
      </c>
      <c r="E83" s="19">
        <f>VLOOKUP(B83,Table2data!$B:$O,4,FALSE)</f>
        <v>79</v>
      </c>
      <c r="F83" s="19">
        <f>VLOOKUP(B83,Table2data!$B:$O,5,FALSE)</f>
        <v>0</v>
      </c>
      <c r="G83" s="19">
        <f>VLOOKUP(B83,Table2data!$B:$O,6,FALSE)</f>
        <v>13</v>
      </c>
      <c r="H83" s="19">
        <f>VLOOKUP(B83,Table2data!$B:$O,7,FALSE)</f>
        <v>0</v>
      </c>
      <c r="I83" s="18">
        <f>VLOOKUP(B83,Table2data!$B:$O,8,FALSE)</f>
        <v>14</v>
      </c>
      <c r="J83" s="19">
        <f>VLOOKUP(B83,Table2data!$B:$O,9,FALSE)</f>
        <v>0</v>
      </c>
      <c r="K83" s="19">
        <f>VLOOKUP(B83,Table2data!$B:$O,10,FALSE)</f>
        <v>79</v>
      </c>
      <c r="L83" s="19">
        <f>VLOOKUP(B83,Table2data!$B:$O,11,FALSE)</f>
        <v>0</v>
      </c>
      <c r="M83" s="19">
        <f>VLOOKUP(B83,Table2data!$B:$O,12,FALSE)</f>
        <v>13</v>
      </c>
      <c r="N83" s="20">
        <f>VLOOKUP(B83,Table2data!$B:$O,7,FALSE)</f>
        <v>0</v>
      </c>
      <c r="O83" s="19">
        <f>VLOOKUP(B83,Table2data!$B:$O,13,FALSE)</f>
        <v>93</v>
      </c>
      <c r="P83" s="19">
        <f>VLOOKUP(B83,Table2data!$B:$O,14,FALSE)</f>
        <v>106</v>
      </c>
    </row>
    <row r="84" spans="1:16" ht="15">
      <c r="A84" s="7" t="s">
        <v>309</v>
      </c>
      <c r="B84" s="7" t="s">
        <v>310</v>
      </c>
      <c r="C84" s="16">
        <f>VLOOKUP(B84,Table2data!$B:$O,2,FALSE)</f>
        <v>77</v>
      </c>
      <c r="D84" s="19">
        <f>VLOOKUP(B84,Table2data!$B:$O,3,FALSE)</f>
        <v>0</v>
      </c>
      <c r="E84" s="19">
        <f>VLOOKUP(B84,Table2data!$B:$O,4,FALSE)</f>
        <v>75</v>
      </c>
      <c r="F84" s="19">
        <f>VLOOKUP(B84,Table2data!$B:$O,5,FALSE)</f>
        <v>1</v>
      </c>
      <c r="G84" s="19">
        <f>VLOOKUP(B84,Table2data!$B:$O,6,FALSE)</f>
        <v>21</v>
      </c>
      <c r="H84" s="19">
        <f>VLOOKUP(B84,Table2data!$B:$O,7,FALSE)</f>
        <v>0</v>
      </c>
      <c r="I84" s="18">
        <f>VLOOKUP(B84,Table2data!$B:$O,8,FALSE)</f>
        <v>63</v>
      </c>
      <c r="J84" s="19">
        <f>VLOOKUP(B84,Table2data!$B:$O,9,FALSE)</f>
        <v>0</v>
      </c>
      <c r="K84" s="19">
        <f>VLOOKUP(B84,Table2data!$B:$O,10,FALSE)</f>
        <v>64</v>
      </c>
      <c r="L84" s="19">
        <f>VLOOKUP(B84,Table2data!$B:$O,11,FALSE)</f>
        <v>1</v>
      </c>
      <c r="M84" s="19">
        <f>VLOOKUP(B84,Table2data!$B:$O,12,FALSE)</f>
        <v>20</v>
      </c>
      <c r="N84" s="20">
        <f>VLOOKUP(B84,Table2data!$B:$O,7,FALSE)</f>
        <v>0</v>
      </c>
      <c r="O84" s="19">
        <f>VLOOKUP(B84,Table2data!$B:$O,13,FALSE)</f>
        <v>153</v>
      </c>
      <c r="P84" s="19">
        <f>VLOOKUP(B84,Table2data!$B:$O,14,FALSE)</f>
        <v>174</v>
      </c>
    </row>
    <row r="85" spans="1:16" ht="15">
      <c r="A85" s="7" t="s">
        <v>311</v>
      </c>
      <c r="B85" s="7" t="s">
        <v>312</v>
      </c>
      <c r="C85" s="16">
        <f>VLOOKUP(B85,Table2data!$B:$O,2,FALSE)</f>
        <v>0</v>
      </c>
      <c r="D85" s="19">
        <f>VLOOKUP(B85,Table2data!$B:$O,3,FALSE)</f>
        <v>0</v>
      </c>
      <c r="E85" s="19">
        <f>VLOOKUP(B85,Table2data!$B:$O,4,FALSE)</f>
        <v>0</v>
      </c>
      <c r="F85" s="19">
        <f>VLOOKUP(B85,Table2data!$B:$O,5,FALSE)</f>
        <v>1</v>
      </c>
      <c r="G85" s="19">
        <f>VLOOKUP(B85,Table2data!$B:$O,6,FALSE)</f>
        <v>0</v>
      </c>
      <c r="H85" s="19">
        <f>VLOOKUP(B85,Table2data!$B:$O,7,FALSE)</f>
        <v>0</v>
      </c>
      <c r="I85" s="18">
        <f>VLOOKUP(B85,Table2data!$B:$O,8,FALSE)</f>
        <v>0</v>
      </c>
      <c r="J85" s="19">
        <f>VLOOKUP(B85,Table2data!$B:$O,9,FALSE)</f>
        <v>0</v>
      </c>
      <c r="K85" s="19">
        <f>VLOOKUP(B85,Table2data!$B:$O,10,FALSE)</f>
        <v>0</v>
      </c>
      <c r="L85" s="19">
        <f>VLOOKUP(B85,Table2data!$B:$O,11,FALSE)</f>
        <v>0</v>
      </c>
      <c r="M85" s="19">
        <f>VLOOKUP(B85,Table2data!$B:$O,12,FALSE)</f>
        <v>0</v>
      </c>
      <c r="N85" s="20">
        <f>VLOOKUP(B85,Table2data!$B:$O,7,FALSE)</f>
        <v>0</v>
      </c>
      <c r="O85" s="19">
        <f>VLOOKUP(B85,Table2data!$B:$O,13,FALSE)</f>
        <v>1</v>
      </c>
      <c r="P85" s="19">
        <f>VLOOKUP(B85,Table2data!$B:$O,14,FALSE)</f>
        <v>1</v>
      </c>
    </row>
    <row r="86" spans="1:16" ht="15">
      <c r="A86" s="7" t="s">
        <v>313</v>
      </c>
      <c r="B86" s="7" t="s">
        <v>314</v>
      </c>
      <c r="C86" s="16">
        <f>VLOOKUP(B86,Table2data!$B:$O,2,FALSE)</f>
        <v>12</v>
      </c>
      <c r="D86" s="19">
        <f>VLOOKUP(B86,Table2data!$B:$O,3,FALSE)</f>
        <v>0</v>
      </c>
      <c r="E86" s="19">
        <f>VLOOKUP(B86,Table2data!$B:$O,4,FALSE)</f>
        <v>11</v>
      </c>
      <c r="F86" s="19">
        <f>VLOOKUP(B86,Table2data!$B:$O,5,FALSE)</f>
        <v>0</v>
      </c>
      <c r="G86" s="19">
        <f>VLOOKUP(B86,Table2data!$B:$O,6,FALSE)</f>
        <v>3</v>
      </c>
      <c r="H86" s="19">
        <f>VLOOKUP(B86,Table2data!$B:$O,7,FALSE)</f>
        <v>0</v>
      </c>
      <c r="I86" s="18">
        <f>VLOOKUP(B86,Table2data!$B:$O,8,FALSE)</f>
        <v>9</v>
      </c>
      <c r="J86" s="19">
        <f>VLOOKUP(B86,Table2data!$B:$O,9,FALSE)</f>
        <v>0</v>
      </c>
      <c r="K86" s="19">
        <f>VLOOKUP(B86,Table2data!$B:$O,10,FALSE)</f>
        <v>10</v>
      </c>
      <c r="L86" s="19">
        <f>VLOOKUP(B86,Table2data!$B:$O,11,FALSE)</f>
        <v>0</v>
      </c>
      <c r="M86" s="19">
        <f>VLOOKUP(B86,Table2data!$B:$O,12,FALSE)</f>
        <v>3</v>
      </c>
      <c r="N86" s="20">
        <f>VLOOKUP(B86,Table2data!$B:$O,7,FALSE)</f>
        <v>0</v>
      </c>
      <c r="O86" s="19">
        <f>VLOOKUP(B86,Table2data!$B:$O,13,FALSE)</f>
        <v>23</v>
      </c>
      <c r="P86" s="19">
        <f>VLOOKUP(B86,Table2data!$B:$O,14,FALSE)</f>
        <v>26</v>
      </c>
    </row>
    <row r="87" spans="1:16" ht="15">
      <c r="A87" s="7" t="s">
        <v>315</v>
      </c>
      <c r="B87" s="7" t="s">
        <v>316</v>
      </c>
      <c r="C87" s="16">
        <f>VLOOKUP(B87,Table2data!$B:$O,2,FALSE)</f>
        <v>109</v>
      </c>
      <c r="D87" s="19">
        <f>VLOOKUP(B87,Table2data!$B:$O,3,FALSE)</f>
        <v>1</v>
      </c>
      <c r="E87" s="19">
        <f>VLOOKUP(B87,Table2data!$B:$O,4,FALSE)</f>
        <v>116</v>
      </c>
      <c r="F87" s="19">
        <f>VLOOKUP(B87,Table2data!$B:$O,5,FALSE)</f>
        <v>3</v>
      </c>
      <c r="G87" s="19">
        <f>VLOOKUP(B87,Table2data!$B:$O,6,FALSE)</f>
        <v>27</v>
      </c>
      <c r="H87" s="19">
        <f>VLOOKUP(B87,Table2data!$B:$O,7,FALSE)</f>
        <v>1</v>
      </c>
      <c r="I87" s="18">
        <f>VLOOKUP(B87,Table2data!$B:$O,8,FALSE)</f>
        <v>64</v>
      </c>
      <c r="J87" s="19">
        <f>VLOOKUP(B87,Table2data!$B:$O,9,FALSE)</f>
        <v>1</v>
      </c>
      <c r="K87" s="19">
        <f>VLOOKUP(B87,Table2data!$B:$O,10,FALSE)</f>
        <v>64</v>
      </c>
      <c r="L87" s="19">
        <f>VLOOKUP(B87,Table2data!$B:$O,11,FALSE)</f>
        <v>2</v>
      </c>
      <c r="M87" s="19">
        <f>VLOOKUP(B87,Table2data!$B:$O,12,FALSE)</f>
        <v>22</v>
      </c>
      <c r="N87" s="20">
        <f>VLOOKUP(B87,Table2data!$B:$O,7,FALSE)</f>
        <v>1</v>
      </c>
      <c r="O87" s="19">
        <f>VLOOKUP(B87,Table2data!$B:$O,13,FALSE)</f>
        <v>230</v>
      </c>
      <c r="P87" s="19">
        <f>VLOOKUP(B87,Table2data!$B:$O,14,FALSE)</f>
        <v>257</v>
      </c>
    </row>
    <row r="88" spans="1:16" ht="15">
      <c r="A88" s="7" t="s">
        <v>317</v>
      </c>
      <c r="B88" s="7" t="s">
        <v>318</v>
      </c>
      <c r="C88" s="16">
        <f>VLOOKUP(B88,Table2data!$B:$O,2,FALSE)</f>
        <v>0</v>
      </c>
      <c r="D88" s="19">
        <f>VLOOKUP(B88,Table2data!$B:$O,3,FALSE)</f>
        <v>0</v>
      </c>
      <c r="E88" s="19">
        <f>VLOOKUP(B88,Table2data!$B:$O,4,FALSE)</f>
        <v>0</v>
      </c>
      <c r="F88" s="19">
        <f>VLOOKUP(B88,Table2data!$B:$O,5,FALSE)</f>
        <v>1</v>
      </c>
      <c r="G88" s="19">
        <f>VLOOKUP(B88,Table2data!$B:$O,6,FALSE)</f>
        <v>0</v>
      </c>
      <c r="H88" s="19">
        <f>VLOOKUP(B88,Table2data!$B:$O,7,FALSE)</f>
        <v>0</v>
      </c>
      <c r="I88" s="18">
        <f>VLOOKUP(B88,Table2data!$B:$O,8,FALSE)</f>
        <v>0</v>
      </c>
      <c r="J88" s="19">
        <f>VLOOKUP(B88,Table2data!$B:$O,9,FALSE)</f>
        <v>0</v>
      </c>
      <c r="K88" s="19">
        <f>VLOOKUP(B88,Table2data!$B:$O,10,FALSE)</f>
        <v>0</v>
      </c>
      <c r="L88" s="19">
        <f>VLOOKUP(B88,Table2data!$B:$O,11,FALSE)</f>
        <v>1</v>
      </c>
      <c r="M88" s="19">
        <f>VLOOKUP(B88,Table2data!$B:$O,12,FALSE)</f>
        <v>0</v>
      </c>
      <c r="N88" s="20">
        <f>VLOOKUP(B88,Table2data!$B:$O,7,FALSE)</f>
        <v>0</v>
      </c>
      <c r="O88" s="19">
        <f>VLOOKUP(B88,Table2data!$B:$O,13,FALSE)</f>
        <v>1</v>
      </c>
      <c r="P88" s="19">
        <f>VLOOKUP(B88,Table2data!$B:$O,14,FALSE)</f>
        <v>1</v>
      </c>
    </row>
    <row r="89" spans="1:16" ht="15">
      <c r="A89" s="7" t="s">
        <v>319</v>
      </c>
      <c r="B89" s="7" t="s">
        <v>320</v>
      </c>
      <c r="C89" s="16">
        <f>VLOOKUP(B89,Table2data!$B:$O,2,FALSE)</f>
        <v>1</v>
      </c>
      <c r="D89" s="19">
        <f>VLOOKUP(B89,Table2data!$B:$O,3,FALSE)</f>
        <v>0</v>
      </c>
      <c r="E89" s="19">
        <f>VLOOKUP(B89,Table2data!$B:$O,4,FALSE)</f>
        <v>0</v>
      </c>
      <c r="F89" s="19">
        <f>VLOOKUP(B89,Table2data!$B:$O,5,FALSE)</f>
        <v>0</v>
      </c>
      <c r="G89" s="19">
        <f>VLOOKUP(B89,Table2data!$B:$O,6,FALSE)</f>
        <v>0</v>
      </c>
      <c r="H89" s="19">
        <f>VLOOKUP(B89,Table2data!$B:$O,7,FALSE)</f>
        <v>0</v>
      </c>
      <c r="I89" s="18">
        <f>VLOOKUP(B89,Table2data!$B:$O,8,FALSE)</f>
        <v>1</v>
      </c>
      <c r="J89" s="19">
        <f>VLOOKUP(B89,Table2data!$B:$O,9,FALSE)</f>
        <v>0</v>
      </c>
      <c r="K89" s="19">
        <f>VLOOKUP(B89,Table2data!$B:$O,10,FALSE)</f>
        <v>0</v>
      </c>
      <c r="L89" s="19">
        <f>VLOOKUP(B89,Table2data!$B:$O,11,FALSE)</f>
        <v>0</v>
      </c>
      <c r="M89" s="19">
        <f>VLOOKUP(B89,Table2data!$B:$O,12,FALSE)</f>
        <v>0</v>
      </c>
      <c r="N89" s="20">
        <f>VLOOKUP(B89,Table2data!$B:$O,7,FALSE)</f>
        <v>0</v>
      </c>
      <c r="O89" s="19">
        <f>VLOOKUP(B89,Table2data!$B:$O,13,FALSE)</f>
        <v>1</v>
      </c>
      <c r="P89" s="19">
        <f>VLOOKUP(B89,Table2data!$B:$O,14,FALSE)</f>
        <v>1</v>
      </c>
    </row>
    <row r="90" spans="1:16" ht="15">
      <c r="A90" s="7" t="s">
        <v>321</v>
      </c>
      <c r="B90" s="7" t="s">
        <v>322</v>
      </c>
      <c r="C90" s="16">
        <f>VLOOKUP(B90,Table2data!$B:$O,2,FALSE)</f>
        <v>0</v>
      </c>
      <c r="D90" s="19">
        <f>VLOOKUP(B90,Table2data!$B:$O,3,FALSE)</f>
        <v>2</v>
      </c>
      <c r="E90" s="19">
        <f>VLOOKUP(B90,Table2data!$B:$O,4,FALSE)</f>
        <v>0</v>
      </c>
      <c r="F90" s="19">
        <f>VLOOKUP(B90,Table2data!$B:$O,5,FALSE)</f>
        <v>0</v>
      </c>
      <c r="G90" s="19">
        <f>VLOOKUP(B90,Table2data!$B:$O,6,FALSE)</f>
        <v>0</v>
      </c>
      <c r="H90" s="19">
        <f>VLOOKUP(B90,Table2data!$B:$O,7,FALSE)</f>
        <v>0</v>
      </c>
      <c r="I90" s="18">
        <f>VLOOKUP(B90,Table2data!$B:$O,8,FALSE)</f>
        <v>0</v>
      </c>
      <c r="J90" s="19">
        <f>VLOOKUP(B90,Table2data!$B:$O,9,FALSE)</f>
        <v>2</v>
      </c>
      <c r="K90" s="19">
        <f>VLOOKUP(B90,Table2data!$B:$O,10,FALSE)</f>
        <v>0</v>
      </c>
      <c r="L90" s="19">
        <f>VLOOKUP(B90,Table2data!$B:$O,11,FALSE)</f>
        <v>0</v>
      </c>
      <c r="M90" s="19">
        <f>VLOOKUP(B90,Table2data!$B:$O,12,FALSE)</f>
        <v>0</v>
      </c>
      <c r="N90" s="20">
        <f>VLOOKUP(B90,Table2data!$B:$O,7,FALSE)</f>
        <v>0</v>
      </c>
      <c r="O90" s="19">
        <f>VLOOKUP(B90,Table2data!$B:$O,13,FALSE)</f>
        <v>2</v>
      </c>
      <c r="P90" s="19">
        <f>VLOOKUP(B90,Table2data!$B:$O,14,FALSE)</f>
        <v>2</v>
      </c>
    </row>
    <row r="91" spans="1:16" ht="15">
      <c r="A91" s="7" t="s">
        <v>323</v>
      </c>
      <c r="B91" s="7" t="s">
        <v>324</v>
      </c>
      <c r="C91" s="16">
        <f>VLOOKUP(B91,Table2data!$B:$O,2,FALSE)</f>
        <v>8</v>
      </c>
      <c r="D91" s="19">
        <f>VLOOKUP(B91,Table2data!$B:$O,3,FALSE)</f>
        <v>5</v>
      </c>
      <c r="E91" s="19">
        <f>VLOOKUP(B91,Table2data!$B:$O,4,FALSE)</f>
        <v>0</v>
      </c>
      <c r="F91" s="19">
        <f>VLOOKUP(B91,Table2data!$B:$O,5,FALSE)</f>
        <v>16</v>
      </c>
      <c r="G91" s="19">
        <f>VLOOKUP(B91,Table2data!$B:$O,6,FALSE)</f>
        <v>3</v>
      </c>
      <c r="H91" s="19">
        <f>VLOOKUP(B91,Table2data!$B:$O,7,FALSE)</f>
        <v>0</v>
      </c>
      <c r="I91" s="18">
        <f>VLOOKUP(B91,Table2data!$B:$O,8,FALSE)</f>
        <v>8</v>
      </c>
      <c r="J91" s="19">
        <f>VLOOKUP(B91,Table2data!$B:$O,9,FALSE)</f>
        <v>5</v>
      </c>
      <c r="K91" s="19">
        <f>VLOOKUP(B91,Table2data!$B:$O,10,FALSE)</f>
        <v>0</v>
      </c>
      <c r="L91" s="19">
        <f>VLOOKUP(B91,Table2data!$B:$O,11,FALSE)</f>
        <v>16</v>
      </c>
      <c r="M91" s="19">
        <f>VLOOKUP(B91,Table2data!$B:$O,12,FALSE)</f>
        <v>3</v>
      </c>
      <c r="N91" s="20">
        <f>VLOOKUP(B91,Table2data!$B:$O,7,FALSE)</f>
        <v>0</v>
      </c>
      <c r="O91" s="19">
        <f>VLOOKUP(B91,Table2data!$B:$O,13,FALSE)</f>
        <v>29</v>
      </c>
      <c r="P91" s="19">
        <f>VLOOKUP(B91,Table2data!$B:$O,14,FALSE)</f>
        <v>32</v>
      </c>
    </row>
    <row r="92" spans="1:16" ht="15">
      <c r="A92" s="7" t="s">
        <v>325</v>
      </c>
      <c r="B92" s="7" t="s">
        <v>326</v>
      </c>
      <c r="C92" s="84">
        <f>VLOOKUP(B92,Table2data!$B:$O,2,FALSE)</f>
        <v>5</v>
      </c>
      <c r="D92" s="85">
        <f>VLOOKUP(B92,Table2data!$B:$O,3,FALSE)</f>
        <v>3</v>
      </c>
      <c r="E92" s="85">
        <f>VLOOKUP(B92,Table2data!$B:$O,4,FALSE)</f>
        <v>0</v>
      </c>
      <c r="F92" s="85">
        <f>VLOOKUP(B92,Table2data!$B:$O,5,FALSE)</f>
        <v>1</v>
      </c>
      <c r="G92" s="85">
        <f>VLOOKUP(B92,Table2data!$B:$O,6,FALSE)</f>
        <v>0</v>
      </c>
      <c r="H92" s="85">
        <f>VLOOKUP(B92,Table2data!$B:$O,7,FALSE)</f>
        <v>0</v>
      </c>
      <c r="I92" s="87">
        <f>VLOOKUP(B92,Table2data!$B:$O,8,FALSE)</f>
        <v>5</v>
      </c>
      <c r="J92" s="85">
        <f>VLOOKUP(B92,Table2data!$B:$O,9,FALSE)</f>
        <v>3</v>
      </c>
      <c r="K92" s="85">
        <f>VLOOKUP(B92,Table2data!$B:$O,10,FALSE)</f>
        <v>0</v>
      </c>
      <c r="L92" s="85">
        <f>VLOOKUP(B92,Table2data!$B:$O,11,FALSE)</f>
        <v>1</v>
      </c>
      <c r="M92" s="85">
        <f>VLOOKUP(B92,Table2data!$B:$O,12,FALSE)</f>
        <v>0</v>
      </c>
      <c r="N92" s="88">
        <f>VLOOKUP(B92,Table2data!$B:$O,7,FALSE)</f>
        <v>0</v>
      </c>
      <c r="O92" s="85">
        <f>VLOOKUP(B92,Table2data!$B:$O,13,FALSE)</f>
        <v>9</v>
      </c>
      <c r="P92" s="85">
        <f>VLOOKUP(B92,Table2data!$B:$O,14,FALSE)</f>
        <v>9</v>
      </c>
    </row>
    <row r="93" spans="1:16" ht="15">
      <c r="A93" s="8"/>
      <c r="B93" s="8"/>
      <c r="C93" s="22">
        <f>SUM(C83:C92)</f>
        <v>226</v>
      </c>
      <c r="D93" s="22">
        <f aca="true" t="shared" si="7" ref="D93:P93">SUM(D83:D92)</f>
        <v>11</v>
      </c>
      <c r="E93" s="22">
        <f t="shared" si="7"/>
        <v>281</v>
      </c>
      <c r="F93" s="22">
        <f t="shared" si="7"/>
        <v>23</v>
      </c>
      <c r="G93" s="22">
        <f t="shared" si="7"/>
        <v>67</v>
      </c>
      <c r="H93" s="22">
        <f t="shared" si="7"/>
        <v>1</v>
      </c>
      <c r="I93" s="21">
        <f t="shared" si="7"/>
        <v>164</v>
      </c>
      <c r="J93" s="22">
        <f t="shared" si="7"/>
        <v>11</v>
      </c>
      <c r="K93" s="22">
        <f t="shared" si="7"/>
        <v>217</v>
      </c>
      <c r="L93" s="22">
        <f t="shared" si="7"/>
        <v>21</v>
      </c>
      <c r="M93" s="22">
        <f t="shared" si="7"/>
        <v>61</v>
      </c>
      <c r="N93" s="23">
        <f t="shared" si="7"/>
        <v>1</v>
      </c>
      <c r="O93" s="22">
        <f t="shared" si="7"/>
        <v>542</v>
      </c>
      <c r="P93" s="22">
        <f t="shared" si="7"/>
        <v>609</v>
      </c>
    </row>
    <row r="94" spans="1:16" ht="15">
      <c r="A94" s="8"/>
      <c r="B94" s="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5">
      <c r="A95" s="9" t="s">
        <v>327</v>
      </c>
      <c r="B95" s="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5">
      <c r="A96" s="7" t="s">
        <v>328</v>
      </c>
      <c r="B96" s="10" t="s">
        <v>329</v>
      </c>
      <c r="C96" s="16">
        <f>VLOOKUP(B96,Table2data!$B:$O,2,FALSE)</f>
        <v>3</v>
      </c>
      <c r="D96" s="19">
        <f>VLOOKUP(B96,Table2data!$B:$O,3,FALSE)</f>
        <v>0</v>
      </c>
      <c r="E96" s="19">
        <f>VLOOKUP(B96,Table2data!$B:$O,4,FALSE)</f>
        <v>24</v>
      </c>
      <c r="F96" s="19">
        <f>VLOOKUP(B96,Table2data!$B:$O,5,FALSE)</f>
        <v>2</v>
      </c>
      <c r="G96" s="19">
        <f>VLOOKUP(B96,Table2data!$B:$O,6,FALSE)</f>
        <v>42</v>
      </c>
      <c r="H96" s="19">
        <f>VLOOKUP(B96,Table2data!$B:$O,7,FALSE)</f>
        <v>0</v>
      </c>
      <c r="I96" s="18">
        <f>VLOOKUP(B96,Table2data!$B:$O,8,FALSE)</f>
        <v>3</v>
      </c>
      <c r="J96" s="19">
        <f>VLOOKUP(B96,Table2data!$B:$O,9,FALSE)</f>
        <v>0</v>
      </c>
      <c r="K96" s="19">
        <f>VLOOKUP(B96,Table2data!$B:$O,10,FALSE)</f>
        <v>24</v>
      </c>
      <c r="L96" s="19">
        <f>VLOOKUP(B96,Table2data!$B:$O,11,FALSE)</f>
        <v>2</v>
      </c>
      <c r="M96" s="19">
        <f>VLOOKUP(B96,Table2data!$B:$O,12,FALSE)</f>
        <v>42</v>
      </c>
      <c r="N96" s="20">
        <f>VLOOKUP(B96,Table2data!$B:$O,7,FALSE)</f>
        <v>0</v>
      </c>
      <c r="O96" s="19">
        <f>VLOOKUP(B96,Table2data!$B:$O,13,FALSE)</f>
        <v>29</v>
      </c>
      <c r="P96" s="19">
        <f>VLOOKUP(B96,Table2data!$B:$O,14,FALSE)</f>
        <v>71</v>
      </c>
    </row>
    <row r="97" spans="1:16" ht="15">
      <c r="A97" s="7" t="s">
        <v>330</v>
      </c>
      <c r="B97" s="10" t="s">
        <v>331</v>
      </c>
      <c r="C97" s="16">
        <f>VLOOKUP(B97,Table2data!$B:$O,2,FALSE)</f>
        <v>14</v>
      </c>
      <c r="D97" s="19">
        <f>VLOOKUP(B97,Table2data!$B:$O,3,FALSE)</f>
        <v>2</v>
      </c>
      <c r="E97" s="19">
        <f>VLOOKUP(B97,Table2data!$B:$O,4,FALSE)</f>
        <v>37</v>
      </c>
      <c r="F97" s="19">
        <f>VLOOKUP(B97,Table2data!$B:$O,5,FALSE)</f>
        <v>1</v>
      </c>
      <c r="G97" s="19">
        <f>VLOOKUP(B97,Table2data!$B:$O,6,FALSE)</f>
        <v>37</v>
      </c>
      <c r="H97" s="19">
        <f>VLOOKUP(B97,Table2data!$B:$O,7,FALSE)</f>
        <v>0</v>
      </c>
      <c r="I97" s="18">
        <f>VLOOKUP(B97,Table2data!$B:$O,8,FALSE)</f>
        <v>4</v>
      </c>
      <c r="J97" s="19">
        <f>VLOOKUP(B97,Table2data!$B:$O,9,FALSE)</f>
        <v>2</v>
      </c>
      <c r="K97" s="19">
        <f>VLOOKUP(B97,Table2data!$B:$O,10,FALSE)</f>
        <v>18</v>
      </c>
      <c r="L97" s="19">
        <f>VLOOKUP(B97,Table2data!$B:$O,11,FALSE)</f>
        <v>0</v>
      </c>
      <c r="M97" s="19">
        <f>VLOOKUP(B97,Table2data!$B:$O,12,FALSE)</f>
        <v>25</v>
      </c>
      <c r="N97" s="20">
        <f>VLOOKUP(B97,Table2data!$B:$O,7,FALSE)</f>
        <v>0</v>
      </c>
      <c r="O97" s="19">
        <f>VLOOKUP(B97,Table2data!$B:$O,13,FALSE)</f>
        <v>54</v>
      </c>
      <c r="P97" s="19">
        <f>VLOOKUP(B97,Table2data!$B:$O,14,FALSE)</f>
        <v>91</v>
      </c>
    </row>
    <row r="98" spans="1:16" ht="15">
      <c r="A98" s="7" t="s">
        <v>332</v>
      </c>
      <c r="B98" s="10" t="s">
        <v>333</v>
      </c>
      <c r="C98" s="16">
        <f>VLOOKUP(B98,Table2data!$B:$O,2,FALSE)</f>
        <v>71</v>
      </c>
      <c r="D98" s="19">
        <f>VLOOKUP(B98,Table2data!$B:$O,3,FALSE)</f>
        <v>3</v>
      </c>
      <c r="E98" s="19">
        <f>VLOOKUP(B98,Table2data!$B:$O,4,FALSE)</f>
        <v>140</v>
      </c>
      <c r="F98" s="19">
        <f>VLOOKUP(B98,Table2data!$B:$O,5,FALSE)</f>
        <v>6</v>
      </c>
      <c r="G98" s="19">
        <f>VLOOKUP(B98,Table2data!$B:$O,6,FALSE)</f>
        <v>71</v>
      </c>
      <c r="H98" s="19">
        <f>VLOOKUP(B98,Table2data!$B:$O,7,FALSE)</f>
        <v>0</v>
      </c>
      <c r="I98" s="18">
        <f>VLOOKUP(B98,Table2data!$B:$O,8,FALSE)</f>
        <v>34</v>
      </c>
      <c r="J98" s="19">
        <f>VLOOKUP(B98,Table2data!$B:$O,9,FALSE)</f>
        <v>3</v>
      </c>
      <c r="K98" s="19">
        <f>VLOOKUP(B98,Table2data!$B:$O,10,FALSE)</f>
        <v>77</v>
      </c>
      <c r="L98" s="19">
        <f>VLOOKUP(B98,Table2data!$B:$O,11,FALSE)</f>
        <v>3</v>
      </c>
      <c r="M98" s="19">
        <f>VLOOKUP(B98,Table2data!$B:$O,12,FALSE)</f>
        <v>39</v>
      </c>
      <c r="N98" s="20">
        <f>VLOOKUP(B98,Table2data!$B:$O,7,FALSE)</f>
        <v>0</v>
      </c>
      <c r="O98" s="19">
        <f>VLOOKUP(B98,Table2data!$B:$O,13,FALSE)</f>
        <v>220</v>
      </c>
      <c r="P98" s="19">
        <f>VLOOKUP(B98,Table2data!$B:$O,14,FALSE)</f>
        <v>291</v>
      </c>
    </row>
    <row r="99" spans="1:16" ht="15">
      <c r="A99" s="7" t="s">
        <v>334</v>
      </c>
      <c r="B99" s="10" t="s">
        <v>335</v>
      </c>
      <c r="C99" s="16">
        <f>VLOOKUP(B99,Table2data!$B:$O,2,FALSE)</f>
        <v>31</v>
      </c>
      <c r="D99" s="19">
        <f>VLOOKUP(B99,Table2data!$B:$O,3,FALSE)</f>
        <v>82</v>
      </c>
      <c r="E99" s="19">
        <f>VLOOKUP(B99,Table2data!$B:$O,4,FALSE)</f>
        <v>0</v>
      </c>
      <c r="F99" s="19">
        <f>VLOOKUP(B99,Table2data!$B:$O,5,FALSE)</f>
        <v>14</v>
      </c>
      <c r="G99" s="19">
        <f>VLOOKUP(B99,Table2data!$B:$O,6,FALSE)</f>
        <v>1</v>
      </c>
      <c r="H99" s="19">
        <f>VLOOKUP(B99,Table2data!$B:$O,7,FALSE)</f>
        <v>0</v>
      </c>
      <c r="I99" s="18">
        <f>VLOOKUP(B99,Table2data!$B:$O,8,FALSE)</f>
        <v>31</v>
      </c>
      <c r="J99" s="19">
        <f>VLOOKUP(B99,Table2data!$B:$O,9,FALSE)</f>
        <v>81</v>
      </c>
      <c r="K99" s="19">
        <f>VLOOKUP(B99,Table2data!$B:$O,10,FALSE)</f>
        <v>0</v>
      </c>
      <c r="L99" s="19">
        <f>VLOOKUP(B99,Table2data!$B:$O,11,FALSE)</f>
        <v>14</v>
      </c>
      <c r="M99" s="19">
        <f>VLOOKUP(B99,Table2data!$B:$O,12,FALSE)</f>
        <v>1</v>
      </c>
      <c r="N99" s="20">
        <f>VLOOKUP(B99,Table2data!$B:$O,7,FALSE)</f>
        <v>0</v>
      </c>
      <c r="O99" s="19">
        <f>VLOOKUP(B99,Table2data!$B:$O,13,FALSE)</f>
        <v>127</v>
      </c>
      <c r="P99" s="19">
        <f>VLOOKUP(B99,Table2data!$B:$O,14,FALSE)</f>
        <v>128</v>
      </c>
    </row>
    <row r="100" spans="1:16" ht="15">
      <c r="A100" s="7" t="s">
        <v>336</v>
      </c>
      <c r="B100" s="10" t="s">
        <v>337</v>
      </c>
      <c r="C100" s="16">
        <f>VLOOKUP(B100,Table2data!$B:$O,2,FALSE)</f>
        <v>1</v>
      </c>
      <c r="D100" s="19">
        <f>VLOOKUP(B100,Table2data!$B:$O,3,FALSE)</f>
        <v>0</v>
      </c>
      <c r="E100" s="19">
        <f>VLOOKUP(B100,Table2data!$B:$O,4,FALSE)</f>
        <v>4</v>
      </c>
      <c r="F100" s="19">
        <f>VLOOKUP(B100,Table2data!$B:$O,5,FALSE)</f>
        <v>0</v>
      </c>
      <c r="G100" s="19">
        <f>VLOOKUP(B100,Table2data!$B:$O,6,FALSE)</f>
        <v>0</v>
      </c>
      <c r="H100" s="19">
        <f>VLOOKUP(B100,Table2data!$B:$O,7,FALSE)</f>
        <v>0</v>
      </c>
      <c r="I100" s="18">
        <f>VLOOKUP(B100,Table2data!$B:$O,8,FALSE)</f>
        <v>1</v>
      </c>
      <c r="J100" s="19">
        <f>VLOOKUP(B100,Table2data!$B:$O,9,FALSE)</f>
        <v>0</v>
      </c>
      <c r="K100" s="19">
        <f>VLOOKUP(B100,Table2data!$B:$O,10,FALSE)</f>
        <v>4</v>
      </c>
      <c r="L100" s="19">
        <f>VLOOKUP(B100,Table2data!$B:$O,11,FALSE)</f>
        <v>0</v>
      </c>
      <c r="M100" s="19">
        <f>VLOOKUP(B100,Table2data!$B:$O,12,FALSE)</f>
        <v>0</v>
      </c>
      <c r="N100" s="20">
        <f>VLOOKUP(B100,Table2data!$B:$O,7,FALSE)</f>
        <v>0</v>
      </c>
      <c r="O100" s="19">
        <f>VLOOKUP(B100,Table2data!$B:$O,13,FALSE)</f>
        <v>5</v>
      </c>
      <c r="P100" s="19">
        <f>VLOOKUP(B100,Table2data!$B:$O,14,FALSE)</f>
        <v>5</v>
      </c>
    </row>
    <row r="101" spans="1:16" ht="15">
      <c r="A101" s="7" t="s">
        <v>338</v>
      </c>
      <c r="B101" s="10" t="s">
        <v>339</v>
      </c>
      <c r="C101" s="16">
        <f>VLOOKUP(B101,Table2data!$B:$O,2,FALSE)</f>
        <v>0</v>
      </c>
      <c r="D101" s="19">
        <f>VLOOKUP(B101,Table2data!$B:$O,3,FALSE)</f>
        <v>0</v>
      </c>
      <c r="E101" s="19">
        <f>VLOOKUP(B101,Table2data!$B:$O,4,FALSE)</f>
        <v>0</v>
      </c>
      <c r="F101" s="19">
        <f>VLOOKUP(B101,Table2data!$B:$O,5,FALSE)</f>
        <v>0</v>
      </c>
      <c r="G101" s="19">
        <f>VLOOKUP(B101,Table2data!$B:$O,6,FALSE)</f>
        <v>1</v>
      </c>
      <c r="H101" s="19">
        <f>VLOOKUP(B101,Table2data!$B:$O,7,FALSE)</f>
        <v>0</v>
      </c>
      <c r="I101" s="18">
        <f>VLOOKUP(B101,Table2data!$B:$O,8,FALSE)</f>
        <v>0</v>
      </c>
      <c r="J101" s="19">
        <f>VLOOKUP(B101,Table2data!$B:$O,9,FALSE)</f>
        <v>0</v>
      </c>
      <c r="K101" s="19">
        <f>VLOOKUP(B101,Table2data!$B:$O,10,FALSE)</f>
        <v>0</v>
      </c>
      <c r="L101" s="19">
        <f>VLOOKUP(B101,Table2data!$B:$O,11,FALSE)</f>
        <v>0</v>
      </c>
      <c r="M101" s="19">
        <f>VLOOKUP(B101,Table2data!$B:$O,12,FALSE)</f>
        <v>1</v>
      </c>
      <c r="N101" s="20">
        <f>VLOOKUP(B101,Table2data!$B:$O,7,FALSE)</f>
        <v>0</v>
      </c>
      <c r="O101" s="19">
        <f>VLOOKUP(B101,Table2data!$B:$O,13,FALSE)</f>
        <v>0</v>
      </c>
      <c r="P101" s="19">
        <f>VLOOKUP(B101,Table2data!$B:$O,14,FALSE)</f>
        <v>1</v>
      </c>
    </row>
    <row r="102" spans="1:16" ht="15">
      <c r="A102" s="7" t="s">
        <v>340</v>
      </c>
      <c r="B102" s="10" t="s">
        <v>341</v>
      </c>
      <c r="C102" s="16">
        <f>VLOOKUP(B102,Table2data!$B:$O,2,FALSE)</f>
        <v>0</v>
      </c>
      <c r="D102" s="19">
        <f>VLOOKUP(B102,Table2data!$B:$O,3,FALSE)</f>
        <v>0</v>
      </c>
      <c r="E102" s="19">
        <f>VLOOKUP(B102,Table2data!$B:$O,4,FALSE)</f>
        <v>1</v>
      </c>
      <c r="F102" s="19">
        <f>VLOOKUP(B102,Table2data!$B:$O,5,FALSE)</f>
        <v>0</v>
      </c>
      <c r="G102" s="19">
        <f>VLOOKUP(B102,Table2data!$B:$O,6,FALSE)</f>
        <v>0</v>
      </c>
      <c r="H102" s="19">
        <f>VLOOKUP(B102,Table2data!$B:$O,7,FALSE)</f>
        <v>0</v>
      </c>
      <c r="I102" s="18">
        <f>VLOOKUP(B102,Table2data!$B:$O,8,FALSE)</f>
        <v>0</v>
      </c>
      <c r="J102" s="19">
        <f>VLOOKUP(B102,Table2data!$B:$O,9,FALSE)</f>
        <v>0</v>
      </c>
      <c r="K102" s="19">
        <f>VLOOKUP(B102,Table2data!$B:$O,10,FALSE)</f>
        <v>1</v>
      </c>
      <c r="L102" s="19">
        <f>VLOOKUP(B102,Table2data!$B:$O,11,FALSE)</f>
        <v>0</v>
      </c>
      <c r="M102" s="19">
        <f>VLOOKUP(B102,Table2data!$B:$O,12,FALSE)</f>
        <v>0</v>
      </c>
      <c r="N102" s="20">
        <f>VLOOKUP(B102,Table2data!$B:$O,7,FALSE)</f>
        <v>0</v>
      </c>
      <c r="O102" s="19">
        <f>VLOOKUP(B102,Table2data!$B:$O,13,FALSE)</f>
        <v>1</v>
      </c>
      <c r="P102" s="19">
        <f>VLOOKUP(B102,Table2data!$B:$O,14,FALSE)</f>
        <v>1</v>
      </c>
    </row>
    <row r="103" spans="1:16" ht="15">
      <c r="A103" s="7" t="s">
        <v>342</v>
      </c>
      <c r="B103" s="10" t="s">
        <v>343</v>
      </c>
      <c r="C103" s="84">
        <f>VLOOKUP(B103,Table2data!$B:$O,2,FALSE)</f>
        <v>0</v>
      </c>
      <c r="D103" s="85">
        <f>VLOOKUP(B103,Table2data!$B:$O,3,FALSE)</f>
        <v>0</v>
      </c>
      <c r="E103" s="85">
        <f>VLOOKUP(B103,Table2data!$B:$O,4,FALSE)</f>
        <v>0</v>
      </c>
      <c r="F103" s="85">
        <f>VLOOKUP(B103,Table2data!$B:$O,5,FALSE)</f>
        <v>0</v>
      </c>
      <c r="G103" s="85">
        <f>VLOOKUP(B103,Table2data!$B:$O,6,FALSE)</f>
        <v>2</v>
      </c>
      <c r="H103" s="85">
        <f>VLOOKUP(B103,Table2data!$B:$O,7,FALSE)</f>
        <v>0</v>
      </c>
      <c r="I103" s="87">
        <f>VLOOKUP(B103,Table2data!$B:$O,8,FALSE)</f>
        <v>0</v>
      </c>
      <c r="J103" s="85">
        <f>VLOOKUP(B103,Table2data!$B:$O,9,FALSE)</f>
        <v>0</v>
      </c>
      <c r="K103" s="85">
        <f>VLOOKUP(B103,Table2data!$B:$O,10,FALSE)</f>
        <v>0</v>
      </c>
      <c r="L103" s="85">
        <f>VLOOKUP(B103,Table2data!$B:$O,11,FALSE)</f>
        <v>0</v>
      </c>
      <c r="M103" s="85">
        <f>VLOOKUP(B103,Table2data!$B:$O,12,FALSE)</f>
        <v>2</v>
      </c>
      <c r="N103" s="88">
        <f>VLOOKUP(B103,Table2data!$B:$O,7,FALSE)</f>
        <v>0</v>
      </c>
      <c r="O103" s="85">
        <f>VLOOKUP(B103,Table2data!$B:$O,13,FALSE)</f>
        <v>0</v>
      </c>
      <c r="P103" s="85">
        <f>VLOOKUP(B103,Table2data!$B:$O,14,FALSE)</f>
        <v>2</v>
      </c>
    </row>
    <row r="104" spans="1:16" ht="15">
      <c r="A104" s="8"/>
      <c r="B104" s="8"/>
      <c r="C104" s="22">
        <f>SUM(C96:C103)</f>
        <v>120</v>
      </c>
      <c r="D104" s="22">
        <f aca="true" t="shared" si="8" ref="D104:P104">SUM(D96:D103)</f>
        <v>87</v>
      </c>
      <c r="E104" s="22">
        <f t="shared" si="8"/>
        <v>206</v>
      </c>
      <c r="F104" s="22">
        <f t="shared" si="8"/>
        <v>23</v>
      </c>
      <c r="G104" s="22">
        <f t="shared" si="8"/>
        <v>154</v>
      </c>
      <c r="H104" s="22">
        <f t="shared" si="8"/>
        <v>0</v>
      </c>
      <c r="I104" s="21">
        <f t="shared" si="8"/>
        <v>73</v>
      </c>
      <c r="J104" s="22">
        <f t="shared" si="8"/>
        <v>86</v>
      </c>
      <c r="K104" s="22">
        <f t="shared" si="8"/>
        <v>124</v>
      </c>
      <c r="L104" s="22">
        <f t="shared" si="8"/>
        <v>19</v>
      </c>
      <c r="M104" s="22">
        <f t="shared" si="8"/>
        <v>110</v>
      </c>
      <c r="N104" s="23">
        <f t="shared" si="8"/>
        <v>0</v>
      </c>
      <c r="O104" s="22">
        <f t="shared" si="8"/>
        <v>436</v>
      </c>
      <c r="P104" s="22">
        <f t="shared" si="8"/>
        <v>590</v>
      </c>
    </row>
    <row r="105" spans="1:16" ht="15">
      <c r="A105" s="8"/>
      <c r="B105" s="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">
      <c r="A106" s="9">
        <v>2004</v>
      </c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">
      <c r="A107" s="7" t="s">
        <v>344</v>
      </c>
      <c r="B107" s="7" t="s">
        <v>345</v>
      </c>
      <c r="C107" s="16">
        <f>VLOOKUP(B107,Table2data!$B:$O,2,FALSE)</f>
        <v>0</v>
      </c>
      <c r="D107" s="19">
        <f>VLOOKUP(B107,Table2data!$B:$O,3,FALSE)</f>
        <v>1</v>
      </c>
      <c r="E107" s="19">
        <f>VLOOKUP(B107,Table2data!$B:$O,4,FALSE)</f>
        <v>25</v>
      </c>
      <c r="F107" s="19">
        <f>VLOOKUP(B107,Table2data!$B:$O,5,FALSE)</f>
        <v>2</v>
      </c>
      <c r="G107" s="19">
        <f>VLOOKUP(B107,Table2data!$B:$O,6,FALSE)</f>
        <v>9</v>
      </c>
      <c r="H107" s="19">
        <f>VLOOKUP(B107,Table2data!$B:$O,7,FALSE)</f>
        <v>0</v>
      </c>
      <c r="I107" s="18">
        <f>VLOOKUP(B107,Table2data!$B:$O,8,FALSE)</f>
        <v>0</v>
      </c>
      <c r="J107" s="19">
        <f>VLOOKUP(B107,Table2data!$B:$O,9,FALSE)</f>
        <v>1</v>
      </c>
      <c r="K107" s="19">
        <f>VLOOKUP(B107,Table2data!$B:$O,10,FALSE)</f>
        <v>24</v>
      </c>
      <c r="L107" s="19">
        <f>VLOOKUP(B107,Table2data!$B:$O,11,FALSE)</f>
        <v>2</v>
      </c>
      <c r="M107" s="19">
        <f>VLOOKUP(B107,Table2data!$B:$O,12,FALSE)</f>
        <v>8</v>
      </c>
      <c r="N107" s="20">
        <f>VLOOKUP(B107,Table2data!$B:$O,7,FALSE)</f>
        <v>0</v>
      </c>
      <c r="O107" s="19">
        <f>VLOOKUP(B107,Table2data!$B:$O,13,FALSE)</f>
        <v>28</v>
      </c>
      <c r="P107" s="19">
        <f>VLOOKUP(B107,Table2data!$B:$O,14,FALSE)</f>
        <v>37</v>
      </c>
    </row>
    <row r="108" spans="1:16" ht="15">
      <c r="A108" s="7" t="s">
        <v>346</v>
      </c>
      <c r="B108" s="7" t="s">
        <v>347</v>
      </c>
      <c r="C108" s="84">
        <f>VLOOKUP(B108,Table2data!$B:$O,2,FALSE)</f>
        <v>13</v>
      </c>
      <c r="D108" s="85">
        <f>VLOOKUP(B108,Table2data!$B:$O,3,FALSE)</f>
        <v>16</v>
      </c>
      <c r="E108" s="85">
        <f>VLOOKUP(B108,Table2data!$B:$O,4,FALSE)</f>
        <v>84</v>
      </c>
      <c r="F108" s="85">
        <f>VLOOKUP(B108,Table2data!$B:$O,5,FALSE)</f>
        <v>10</v>
      </c>
      <c r="G108" s="85">
        <f>VLOOKUP(B108,Table2data!$B:$O,6,FALSE)</f>
        <v>12</v>
      </c>
      <c r="H108" s="85">
        <f>VLOOKUP(B108,Table2data!$B:$O,7,FALSE)</f>
        <v>1</v>
      </c>
      <c r="I108" s="87">
        <f>VLOOKUP(B108,Table2data!$B:$O,8,FALSE)</f>
        <v>13</v>
      </c>
      <c r="J108" s="85">
        <f>VLOOKUP(B108,Table2data!$B:$O,9,FALSE)</f>
        <v>16</v>
      </c>
      <c r="K108" s="85">
        <f>VLOOKUP(B108,Table2data!$B:$O,10,FALSE)</f>
        <v>82</v>
      </c>
      <c r="L108" s="85">
        <f>VLOOKUP(B108,Table2data!$B:$O,11,FALSE)</f>
        <v>9</v>
      </c>
      <c r="M108" s="85">
        <f>VLOOKUP(B108,Table2data!$B:$O,12,FALSE)</f>
        <v>10</v>
      </c>
      <c r="N108" s="88">
        <f>VLOOKUP(B108,Table2data!$B:$O,7,FALSE)</f>
        <v>1</v>
      </c>
      <c r="O108" s="85">
        <f>VLOOKUP(B108,Table2data!$B:$O,13,FALSE)</f>
        <v>124</v>
      </c>
      <c r="P108" s="85">
        <f>VLOOKUP(B108,Table2data!$B:$O,14,FALSE)</f>
        <v>136</v>
      </c>
    </row>
    <row r="109" spans="1:16" ht="15">
      <c r="A109" s="8"/>
      <c r="B109" s="8"/>
      <c r="C109" s="22">
        <f>SUM(C107:C108)</f>
        <v>13</v>
      </c>
      <c r="D109" s="22">
        <f aca="true" t="shared" si="9" ref="D109:P109">SUM(D107:D108)</f>
        <v>17</v>
      </c>
      <c r="E109" s="22">
        <f t="shared" si="9"/>
        <v>109</v>
      </c>
      <c r="F109" s="22">
        <f t="shared" si="9"/>
        <v>12</v>
      </c>
      <c r="G109" s="22">
        <f t="shared" si="9"/>
        <v>21</v>
      </c>
      <c r="H109" s="22">
        <f t="shared" si="9"/>
        <v>1</v>
      </c>
      <c r="I109" s="21">
        <f t="shared" si="9"/>
        <v>13</v>
      </c>
      <c r="J109" s="22">
        <f t="shared" si="9"/>
        <v>17</v>
      </c>
      <c r="K109" s="22">
        <f t="shared" si="9"/>
        <v>106</v>
      </c>
      <c r="L109" s="22">
        <f t="shared" si="9"/>
        <v>11</v>
      </c>
      <c r="M109" s="22">
        <f t="shared" si="9"/>
        <v>18</v>
      </c>
      <c r="N109" s="23">
        <f t="shared" si="9"/>
        <v>1</v>
      </c>
      <c r="O109" s="22">
        <f t="shared" si="9"/>
        <v>152</v>
      </c>
      <c r="P109" s="22">
        <f t="shared" si="9"/>
        <v>173</v>
      </c>
    </row>
    <row r="110" spans="3:16" ht="1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5">
      <c r="A111" s="2" t="s">
        <v>348</v>
      </c>
      <c r="C111" s="79">
        <f aca="true" t="shared" si="10" ref="C111:P111">C109+C104+C93+C80+C70+C61+C42+C35+C26</f>
        <v>5400</v>
      </c>
      <c r="D111" s="79">
        <f t="shared" si="10"/>
        <v>894</v>
      </c>
      <c r="E111" s="79">
        <f t="shared" si="10"/>
        <v>3514</v>
      </c>
      <c r="F111" s="79">
        <f t="shared" si="10"/>
        <v>1252</v>
      </c>
      <c r="G111" s="79">
        <f t="shared" si="10"/>
        <v>3347</v>
      </c>
      <c r="H111" s="79">
        <f t="shared" si="10"/>
        <v>8</v>
      </c>
      <c r="I111" s="79">
        <f t="shared" si="10"/>
        <v>5098</v>
      </c>
      <c r="J111" s="79">
        <f t="shared" si="10"/>
        <v>882</v>
      </c>
      <c r="K111" s="79">
        <f t="shared" si="10"/>
        <v>3165</v>
      </c>
      <c r="L111" s="79">
        <f t="shared" si="10"/>
        <v>1216</v>
      </c>
      <c r="M111" s="79">
        <f t="shared" si="10"/>
        <v>3226</v>
      </c>
      <c r="N111" s="79">
        <f t="shared" si="10"/>
        <v>8</v>
      </c>
      <c r="O111" s="79">
        <f t="shared" si="10"/>
        <v>11068</v>
      </c>
      <c r="P111" s="79">
        <f t="shared" si="10"/>
        <v>14415</v>
      </c>
    </row>
    <row r="114" ht="15">
      <c r="A114" s="2" t="str">
        <f>" * This table excludes "&amp;TEXT(SUM(Table8!D:D,Table8!H:H,Table8!L:L,Table8!P:P,Table8!T:T)/-2,"#,###,###,###")&amp;" permits which were cancelled by CFEC and not reinstated, summed over the entire period."</f>
        <v> * This table excludes 2,117 permits which were cancelled by CFEC and not reinstated, summed over the entire period.</v>
      </c>
    </row>
    <row r="115" ht="15">
      <c r="A115" s="2" t="str">
        <f>"** By "&amp;TEXT(Sundry!B2,"0000")&amp;", the net effects of transferable and nontransferable permits changing status through the CFEC adjudication process resulted in the addition of "&amp;TEXT(Sundry!E2,"#,###,###")&amp;" transferable permits."</f>
        <v>** By 2010, the net effects of transferable and nontransferable permits changing status through the CFEC adjudication process resulted in the addition of 128 transferable permits.</v>
      </c>
    </row>
  </sheetData>
  <sheetProtection/>
  <mergeCells count="4">
    <mergeCell ref="A3:A4"/>
    <mergeCell ref="C3:H3"/>
    <mergeCell ref="I3:N3"/>
    <mergeCell ref="O3:P3"/>
  </mergeCells>
  <printOptions/>
  <pageMargins left="0.7" right="0.7" top="0.75" bottom="0.75" header="0.3" footer="0.3"/>
  <pageSetup horizontalDpi="600" verticalDpi="600" orientation="portrait" scale="56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">
      <c r="A1" s="66" t="s">
        <v>450</v>
      </c>
      <c r="B1" s="66" t="s">
        <v>351</v>
      </c>
      <c r="C1" s="66" t="s">
        <v>451</v>
      </c>
      <c r="D1" s="66" t="s">
        <v>452</v>
      </c>
      <c r="E1" s="66" t="s">
        <v>453</v>
      </c>
      <c r="F1" s="66" t="s">
        <v>454</v>
      </c>
      <c r="G1" s="66" t="s">
        <v>455</v>
      </c>
      <c r="H1" s="66" t="s">
        <v>456</v>
      </c>
      <c r="I1" s="66" t="s">
        <v>457</v>
      </c>
      <c r="J1" s="66" t="s">
        <v>458</v>
      </c>
      <c r="K1" s="66" t="s">
        <v>459</v>
      </c>
      <c r="L1" s="66" t="s">
        <v>460</v>
      </c>
      <c r="M1" s="66" t="s">
        <v>461</v>
      </c>
      <c r="N1" s="66" t="s">
        <v>363</v>
      </c>
      <c r="O1" s="66" t="s">
        <v>364</v>
      </c>
    </row>
    <row r="2" spans="1:15" ht="15">
      <c r="A2" s="66" t="s">
        <v>317</v>
      </c>
      <c r="B2" s="66" t="s">
        <v>318</v>
      </c>
      <c r="C2" s="66">
        <v>0</v>
      </c>
      <c r="D2" s="66">
        <v>0</v>
      </c>
      <c r="E2" s="66">
        <v>0</v>
      </c>
      <c r="F2" s="66">
        <v>1</v>
      </c>
      <c r="G2" s="66">
        <v>0</v>
      </c>
      <c r="H2" s="66">
        <v>0</v>
      </c>
      <c r="I2" s="66">
        <v>0</v>
      </c>
      <c r="J2" s="66">
        <v>0</v>
      </c>
      <c r="K2" s="66">
        <v>0</v>
      </c>
      <c r="L2" s="66">
        <v>1</v>
      </c>
      <c r="M2" s="66">
        <v>0</v>
      </c>
      <c r="N2" s="66">
        <v>1</v>
      </c>
      <c r="O2" s="66">
        <v>1</v>
      </c>
    </row>
    <row r="3" spans="1:15" ht="15">
      <c r="A3" s="66" t="s">
        <v>319</v>
      </c>
      <c r="B3" s="66" t="s">
        <v>320</v>
      </c>
      <c r="C3" s="66">
        <v>1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1</v>
      </c>
      <c r="J3" s="66">
        <v>0</v>
      </c>
      <c r="K3" s="66">
        <v>0</v>
      </c>
      <c r="L3" s="66">
        <v>0</v>
      </c>
      <c r="M3" s="66">
        <v>0</v>
      </c>
      <c r="N3" s="66">
        <v>1</v>
      </c>
      <c r="O3" s="66">
        <v>1</v>
      </c>
    </row>
    <row r="4" spans="1:15" ht="15">
      <c r="A4" s="66" t="s">
        <v>321</v>
      </c>
      <c r="B4" s="66" t="s">
        <v>322</v>
      </c>
      <c r="C4" s="66">
        <v>0</v>
      </c>
      <c r="D4" s="66">
        <v>2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2</v>
      </c>
      <c r="K4" s="66">
        <v>0</v>
      </c>
      <c r="L4" s="66">
        <v>0</v>
      </c>
      <c r="M4" s="66">
        <v>0</v>
      </c>
      <c r="N4" s="66">
        <v>2</v>
      </c>
      <c r="O4" s="66">
        <v>2</v>
      </c>
    </row>
    <row r="5" spans="1:15" ht="15">
      <c r="A5" s="66" t="s">
        <v>323</v>
      </c>
      <c r="B5" s="66" t="s">
        <v>324</v>
      </c>
      <c r="C5" s="66">
        <v>8</v>
      </c>
      <c r="D5" s="66">
        <v>5</v>
      </c>
      <c r="E5" s="66">
        <v>0</v>
      </c>
      <c r="F5" s="66">
        <v>16</v>
      </c>
      <c r="G5" s="66">
        <v>3</v>
      </c>
      <c r="H5" s="66">
        <v>0</v>
      </c>
      <c r="I5" s="66">
        <v>8</v>
      </c>
      <c r="J5" s="66">
        <v>5</v>
      </c>
      <c r="K5" s="66">
        <v>0</v>
      </c>
      <c r="L5" s="66">
        <v>16</v>
      </c>
      <c r="M5" s="66">
        <v>3</v>
      </c>
      <c r="N5" s="66">
        <v>29</v>
      </c>
      <c r="O5" s="66">
        <v>32</v>
      </c>
    </row>
    <row r="6" spans="1:15" ht="15">
      <c r="A6" s="66" t="s">
        <v>325</v>
      </c>
      <c r="B6" s="66" t="s">
        <v>326</v>
      </c>
      <c r="C6" s="66">
        <v>5</v>
      </c>
      <c r="D6" s="66">
        <v>3</v>
      </c>
      <c r="E6" s="66">
        <v>0</v>
      </c>
      <c r="F6" s="66">
        <v>1</v>
      </c>
      <c r="G6" s="66">
        <v>0</v>
      </c>
      <c r="H6" s="66">
        <v>0</v>
      </c>
      <c r="I6" s="66">
        <v>5</v>
      </c>
      <c r="J6" s="66">
        <v>3</v>
      </c>
      <c r="K6" s="66">
        <v>0</v>
      </c>
      <c r="L6" s="66">
        <v>1</v>
      </c>
      <c r="M6" s="66">
        <v>0</v>
      </c>
      <c r="N6" s="66">
        <v>9</v>
      </c>
      <c r="O6" s="66">
        <v>9</v>
      </c>
    </row>
    <row r="7" spans="1:15" ht="15">
      <c r="A7" s="66" t="s">
        <v>248</v>
      </c>
      <c r="B7" s="66" t="s">
        <v>249</v>
      </c>
      <c r="C7" s="66">
        <v>9</v>
      </c>
      <c r="D7" s="66">
        <v>3</v>
      </c>
      <c r="E7" s="66">
        <v>41</v>
      </c>
      <c r="F7" s="66">
        <v>2</v>
      </c>
      <c r="G7" s="66">
        <v>16</v>
      </c>
      <c r="H7" s="66">
        <v>0</v>
      </c>
      <c r="I7" s="66">
        <v>9</v>
      </c>
      <c r="J7" s="66">
        <v>3</v>
      </c>
      <c r="K7" s="66">
        <v>41</v>
      </c>
      <c r="L7" s="66">
        <v>2</v>
      </c>
      <c r="M7" s="66">
        <v>16</v>
      </c>
      <c r="N7" s="66">
        <v>55</v>
      </c>
      <c r="O7" s="66">
        <v>71</v>
      </c>
    </row>
    <row r="8" spans="1:15" ht="15">
      <c r="A8" s="66" t="s">
        <v>250</v>
      </c>
      <c r="B8" s="66" t="s">
        <v>251</v>
      </c>
      <c r="C8" s="66">
        <v>0</v>
      </c>
      <c r="D8" s="66">
        <v>1</v>
      </c>
      <c r="E8" s="66">
        <v>10</v>
      </c>
      <c r="F8" s="66">
        <v>0</v>
      </c>
      <c r="G8" s="66">
        <v>2</v>
      </c>
      <c r="H8" s="66">
        <v>0</v>
      </c>
      <c r="I8" s="66">
        <v>0</v>
      </c>
      <c r="J8" s="66">
        <v>1</v>
      </c>
      <c r="K8" s="66">
        <v>10</v>
      </c>
      <c r="L8" s="66">
        <v>0</v>
      </c>
      <c r="M8" s="66">
        <v>2</v>
      </c>
      <c r="N8" s="66">
        <v>11</v>
      </c>
      <c r="O8" s="66">
        <v>13</v>
      </c>
    </row>
    <row r="9" spans="1:15" ht="15">
      <c r="A9" s="66" t="s">
        <v>252</v>
      </c>
      <c r="B9" s="66" t="s">
        <v>253</v>
      </c>
      <c r="C9" s="66">
        <v>2</v>
      </c>
      <c r="D9" s="66">
        <v>0</v>
      </c>
      <c r="E9" s="66">
        <v>0</v>
      </c>
      <c r="F9" s="66">
        <v>0</v>
      </c>
      <c r="G9" s="66">
        <v>1</v>
      </c>
      <c r="H9" s="66">
        <v>0</v>
      </c>
      <c r="I9" s="66">
        <v>2</v>
      </c>
      <c r="J9" s="66">
        <v>0</v>
      </c>
      <c r="K9" s="66">
        <v>0</v>
      </c>
      <c r="L9" s="66">
        <v>0</v>
      </c>
      <c r="M9" s="66">
        <v>0</v>
      </c>
      <c r="N9" s="66">
        <v>2</v>
      </c>
      <c r="O9" s="66">
        <v>3</v>
      </c>
    </row>
    <row r="10" spans="1:15" ht="15">
      <c r="A10" s="66" t="s">
        <v>291</v>
      </c>
      <c r="B10" s="66" t="s">
        <v>292</v>
      </c>
      <c r="C10" s="66">
        <v>2</v>
      </c>
      <c r="D10" s="66">
        <v>0</v>
      </c>
      <c r="E10" s="66">
        <v>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3</v>
      </c>
      <c r="O10" s="66">
        <v>3</v>
      </c>
    </row>
    <row r="11" spans="1:15" ht="15">
      <c r="A11" s="66" t="s">
        <v>293</v>
      </c>
      <c r="B11" s="66" t="s">
        <v>294</v>
      </c>
      <c r="C11" s="66">
        <v>0</v>
      </c>
      <c r="D11" s="66">
        <v>0</v>
      </c>
      <c r="E11" s="66">
        <v>1</v>
      </c>
      <c r="F11" s="66">
        <v>0</v>
      </c>
      <c r="G11" s="66">
        <v>1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</v>
      </c>
      <c r="O11" s="66">
        <v>2</v>
      </c>
    </row>
    <row r="12" spans="1:15" ht="15">
      <c r="A12" s="66" t="s">
        <v>305</v>
      </c>
      <c r="B12" s="66" t="s">
        <v>306</v>
      </c>
      <c r="C12" s="66">
        <v>55</v>
      </c>
      <c r="D12" s="66">
        <v>2</v>
      </c>
      <c r="E12" s="66">
        <v>8</v>
      </c>
      <c r="F12" s="66">
        <v>2</v>
      </c>
      <c r="G12" s="66">
        <v>3</v>
      </c>
      <c r="H12" s="66">
        <v>0</v>
      </c>
      <c r="I12" s="66">
        <v>46</v>
      </c>
      <c r="J12" s="66">
        <v>1</v>
      </c>
      <c r="K12" s="66">
        <v>7</v>
      </c>
      <c r="L12" s="66">
        <v>2</v>
      </c>
      <c r="M12" s="66">
        <v>3</v>
      </c>
      <c r="N12" s="66">
        <v>67</v>
      </c>
      <c r="O12" s="66">
        <v>70</v>
      </c>
    </row>
    <row r="13" spans="1:15" ht="15">
      <c r="A13" s="66" t="s">
        <v>295</v>
      </c>
      <c r="B13" s="66" t="s">
        <v>296</v>
      </c>
      <c r="C13" s="66">
        <v>5</v>
      </c>
      <c r="D13" s="66">
        <v>0</v>
      </c>
      <c r="E13" s="66">
        <v>38</v>
      </c>
      <c r="F13" s="66">
        <v>0</v>
      </c>
      <c r="G13" s="66">
        <v>6</v>
      </c>
      <c r="H13" s="66">
        <v>0</v>
      </c>
      <c r="I13" s="66">
        <v>5</v>
      </c>
      <c r="J13" s="66">
        <v>0</v>
      </c>
      <c r="K13" s="66">
        <v>38</v>
      </c>
      <c r="L13" s="66">
        <v>0</v>
      </c>
      <c r="M13" s="66">
        <v>6</v>
      </c>
      <c r="N13" s="66">
        <v>43</v>
      </c>
      <c r="O13" s="66">
        <v>49</v>
      </c>
    </row>
    <row r="14" spans="1:15" ht="15">
      <c r="A14" s="66" t="s">
        <v>297</v>
      </c>
      <c r="B14" s="66" t="s">
        <v>298</v>
      </c>
      <c r="C14" s="66">
        <v>12</v>
      </c>
      <c r="D14" s="66">
        <v>0</v>
      </c>
      <c r="E14" s="66">
        <v>25</v>
      </c>
      <c r="F14" s="66">
        <v>0</v>
      </c>
      <c r="G14" s="66">
        <v>6</v>
      </c>
      <c r="H14" s="66">
        <v>0</v>
      </c>
      <c r="I14" s="66">
        <v>12</v>
      </c>
      <c r="J14" s="66">
        <v>0</v>
      </c>
      <c r="K14" s="66">
        <v>25</v>
      </c>
      <c r="L14" s="66">
        <v>0</v>
      </c>
      <c r="M14" s="66">
        <v>6</v>
      </c>
      <c r="N14" s="66">
        <v>37</v>
      </c>
      <c r="O14" s="66">
        <v>43</v>
      </c>
    </row>
    <row r="15" spans="1:15" ht="15">
      <c r="A15" s="66" t="s">
        <v>299</v>
      </c>
      <c r="B15" s="66" t="s">
        <v>300</v>
      </c>
      <c r="C15" s="66">
        <v>32</v>
      </c>
      <c r="D15" s="66">
        <v>0</v>
      </c>
      <c r="E15" s="66">
        <v>36</v>
      </c>
      <c r="F15" s="66">
        <v>1</v>
      </c>
      <c r="G15" s="66">
        <v>16</v>
      </c>
      <c r="H15" s="66">
        <v>0</v>
      </c>
      <c r="I15" s="66">
        <v>31</v>
      </c>
      <c r="J15" s="66">
        <v>0</v>
      </c>
      <c r="K15" s="66">
        <v>35</v>
      </c>
      <c r="L15" s="66">
        <v>1</v>
      </c>
      <c r="M15" s="66">
        <v>14</v>
      </c>
      <c r="N15" s="66">
        <v>69</v>
      </c>
      <c r="O15" s="66">
        <v>85</v>
      </c>
    </row>
    <row r="16" spans="1:15" ht="15">
      <c r="A16" s="66" t="s">
        <v>301</v>
      </c>
      <c r="B16" s="66" t="s">
        <v>302</v>
      </c>
      <c r="C16" s="66">
        <v>38</v>
      </c>
      <c r="D16" s="66">
        <v>1</v>
      </c>
      <c r="E16" s="66">
        <v>50</v>
      </c>
      <c r="F16" s="66">
        <v>2</v>
      </c>
      <c r="G16" s="66">
        <v>21</v>
      </c>
      <c r="H16" s="66">
        <v>0</v>
      </c>
      <c r="I16" s="66">
        <v>30</v>
      </c>
      <c r="J16" s="66">
        <v>1</v>
      </c>
      <c r="K16" s="66">
        <v>28</v>
      </c>
      <c r="L16" s="66">
        <v>0</v>
      </c>
      <c r="M16" s="66">
        <v>12</v>
      </c>
      <c r="N16" s="66">
        <v>91</v>
      </c>
      <c r="O16" s="66">
        <v>112</v>
      </c>
    </row>
    <row r="17" spans="1:15" ht="15">
      <c r="A17" s="66" t="s">
        <v>237</v>
      </c>
      <c r="B17" s="66" t="s">
        <v>238</v>
      </c>
      <c r="C17" s="66">
        <v>5</v>
      </c>
      <c r="D17" s="66">
        <v>7</v>
      </c>
      <c r="E17" s="66">
        <v>18</v>
      </c>
      <c r="F17" s="66">
        <v>5</v>
      </c>
      <c r="G17" s="66">
        <v>12</v>
      </c>
      <c r="H17" s="66">
        <v>0</v>
      </c>
      <c r="I17" s="66">
        <v>5</v>
      </c>
      <c r="J17" s="66">
        <v>7</v>
      </c>
      <c r="K17" s="66">
        <v>18</v>
      </c>
      <c r="L17" s="66">
        <v>5</v>
      </c>
      <c r="M17" s="66">
        <v>12</v>
      </c>
      <c r="N17" s="66">
        <v>35</v>
      </c>
      <c r="O17" s="66">
        <v>47</v>
      </c>
    </row>
    <row r="18" spans="1:15" ht="15">
      <c r="A18" s="66" t="s">
        <v>241</v>
      </c>
      <c r="B18" s="66" t="s">
        <v>242</v>
      </c>
      <c r="C18" s="66">
        <v>24</v>
      </c>
      <c r="D18" s="66">
        <v>31</v>
      </c>
      <c r="E18" s="66">
        <v>0</v>
      </c>
      <c r="F18" s="66">
        <v>23</v>
      </c>
      <c r="G18" s="66">
        <v>27</v>
      </c>
      <c r="H18" s="66">
        <v>0</v>
      </c>
      <c r="I18" s="66">
        <v>24</v>
      </c>
      <c r="J18" s="66">
        <v>31</v>
      </c>
      <c r="K18" s="66">
        <v>0</v>
      </c>
      <c r="L18" s="66">
        <v>23</v>
      </c>
      <c r="M18" s="66">
        <v>27</v>
      </c>
      <c r="N18" s="66">
        <v>78</v>
      </c>
      <c r="O18" s="66">
        <v>105</v>
      </c>
    </row>
    <row r="19" spans="1:15" ht="15">
      <c r="A19" s="66" t="s">
        <v>243</v>
      </c>
      <c r="B19" s="66" t="s">
        <v>244</v>
      </c>
      <c r="C19" s="66">
        <v>32</v>
      </c>
      <c r="D19" s="66">
        <v>5</v>
      </c>
      <c r="E19" s="66">
        <v>6</v>
      </c>
      <c r="F19" s="66">
        <v>10</v>
      </c>
      <c r="G19" s="66">
        <v>22</v>
      </c>
      <c r="H19" s="66">
        <v>0</v>
      </c>
      <c r="I19" s="66">
        <v>32</v>
      </c>
      <c r="J19" s="66">
        <v>5</v>
      </c>
      <c r="K19" s="66">
        <v>6</v>
      </c>
      <c r="L19" s="66">
        <v>10</v>
      </c>
      <c r="M19" s="66">
        <v>22</v>
      </c>
      <c r="N19" s="66">
        <v>53</v>
      </c>
      <c r="O19" s="66">
        <v>75</v>
      </c>
    </row>
    <row r="20" spans="1:15" ht="15">
      <c r="A20" s="66" t="s">
        <v>272</v>
      </c>
      <c r="B20" s="66" t="s">
        <v>273</v>
      </c>
      <c r="C20" s="66">
        <v>6</v>
      </c>
      <c r="D20" s="66">
        <v>18</v>
      </c>
      <c r="E20" s="66">
        <v>26</v>
      </c>
      <c r="F20" s="66">
        <v>7</v>
      </c>
      <c r="G20" s="66">
        <v>11</v>
      </c>
      <c r="H20" s="66">
        <v>0</v>
      </c>
      <c r="I20" s="66">
        <v>4</v>
      </c>
      <c r="J20" s="66">
        <v>17</v>
      </c>
      <c r="K20" s="66">
        <v>23</v>
      </c>
      <c r="L20" s="66">
        <v>7</v>
      </c>
      <c r="M20" s="66">
        <v>6</v>
      </c>
      <c r="N20" s="66">
        <v>57</v>
      </c>
      <c r="O20" s="66">
        <v>68</v>
      </c>
    </row>
    <row r="21" spans="1:15" ht="15">
      <c r="A21" s="66" t="s">
        <v>281</v>
      </c>
      <c r="B21" s="66" t="s">
        <v>282</v>
      </c>
      <c r="C21" s="66">
        <v>0</v>
      </c>
      <c r="D21" s="66">
        <v>1</v>
      </c>
      <c r="E21" s="66">
        <v>0</v>
      </c>
      <c r="F21" s="66">
        <v>2</v>
      </c>
      <c r="G21" s="66">
        <v>3</v>
      </c>
      <c r="H21" s="66">
        <v>0</v>
      </c>
      <c r="I21" s="66">
        <v>0</v>
      </c>
      <c r="J21" s="66">
        <v>1</v>
      </c>
      <c r="K21" s="66">
        <v>0</v>
      </c>
      <c r="L21" s="66">
        <v>2</v>
      </c>
      <c r="M21" s="66">
        <v>3</v>
      </c>
      <c r="N21" s="66">
        <v>3</v>
      </c>
      <c r="O21" s="66">
        <v>6</v>
      </c>
    </row>
    <row r="22" spans="1:15" ht="15">
      <c r="A22" s="66" t="s">
        <v>276</v>
      </c>
      <c r="B22" s="66" t="s">
        <v>277</v>
      </c>
      <c r="C22" s="66">
        <v>1</v>
      </c>
      <c r="D22" s="66">
        <v>0</v>
      </c>
      <c r="E22" s="66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1</v>
      </c>
      <c r="L22" s="66">
        <v>0</v>
      </c>
      <c r="M22" s="66">
        <v>0</v>
      </c>
      <c r="N22" s="66">
        <v>2</v>
      </c>
      <c r="O22" s="66">
        <v>2</v>
      </c>
    </row>
    <row r="23" spans="1:15" ht="15">
      <c r="A23" s="66" t="s">
        <v>239</v>
      </c>
      <c r="B23" s="66" t="s">
        <v>240</v>
      </c>
      <c r="C23" s="66">
        <v>23</v>
      </c>
      <c r="D23" s="66">
        <v>0</v>
      </c>
      <c r="E23" s="66">
        <v>59</v>
      </c>
      <c r="F23" s="66">
        <v>1</v>
      </c>
      <c r="G23" s="66">
        <v>28</v>
      </c>
      <c r="H23" s="66">
        <v>0</v>
      </c>
      <c r="I23" s="66">
        <v>23</v>
      </c>
      <c r="J23" s="66">
        <v>0</v>
      </c>
      <c r="K23" s="66">
        <v>59</v>
      </c>
      <c r="L23" s="66">
        <v>1</v>
      </c>
      <c r="M23" s="66">
        <v>28</v>
      </c>
      <c r="N23" s="66">
        <v>83</v>
      </c>
      <c r="O23" s="66">
        <v>111</v>
      </c>
    </row>
    <row r="24" spans="1:15" ht="15">
      <c r="A24" s="66" t="s">
        <v>268</v>
      </c>
      <c r="B24" s="66" t="s">
        <v>269</v>
      </c>
      <c r="C24" s="66">
        <v>16</v>
      </c>
      <c r="D24" s="66">
        <v>0</v>
      </c>
      <c r="E24" s="66">
        <v>0</v>
      </c>
      <c r="F24" s="66">
        <v>6</v>
      </c>
      <c r="G24" s="66">
        <v>2</v>
      </c>
      <c r="H24" s="66">
        <v>0</v>
      </c>
      <c r="I24" s="66">
        <v>16</v>
      </c>
      <c r="J24" s="66">
        <v>0</v>
      </c>
      <c r="K24" s="66">
        <v>0</v>
      </c>
      <c r="L24" s="66">
        <v>6</v>
      </c>
      <c r="M24" s="66">
        <v>2</v>
      </c>
      <c r="N24" s="66">
        <v>22</v>
      </c>
      <c r="O24" s="66">
        <v>24</v>
      </c>
    </row>
    <row r="25" spans="1:15" ht="15">
      <c r="A25" s="66" t="s">
        <v>274</v>
      </c>
      <c r="B25" s="66" t="s">
        <v>275</v>
      </c>
      <c r="C25" s="66">
        <v>7</v>
      </c>
      <c r="D25" s="66">
        <v>14</v>
      </c>
      <c r="E25" s="66">
        <v>48</v>
      </c>
      <c r="F25" s="66">
        <v>11</v>
      </c>
      <c r="G25" s="66">
        <v>15</v>
      </c>
      <c r="H25" s="66">
        <v>1</v>
      </c>
      <c r="I25" s="66">
        <v>7</v>
      </c>
      <c r="J25" s="66">
        <v>13</v>
      </c>
      <c r="K25" s="66">
        <v>40</v>
      </c>
      <c r="L25" s="66">
        <v>8</v>
      </c>
      <c r="M25" s="66">
        <v>12</v>
      </c>
      <c r="N25" s="66">
        <v>81</v>
      </c>
      <c r="O25" s="66">
        <v>96</v>
      </c>
    </row>
    <row r="26" spans="1:15" ht="15">
      <c r="A26" s="66" t="s">
        <v>283</v>
      </c>
      <c r="B26" s="66" t="s">
        <v>284</v>
      </c>
      <c r="C26" s="66">
        <v>117</v>
      </c>
      <c r="D26" s="66">
        <v>6</v>
      </c>
      <c r="E26" s="66">
        <v>0</v>
      </c>
      <c r="F26" s="66">
        <v>10</v>
      </c>
      <c r="G26" s="66">
        <v>4</v>
      </c>
      <c r="H26" s="66">
        <v>0</v>
      </c>
      <c r="I26" s="66">
        <v>101</v>
      </c>
      <c r="J26" s="66">
        <v>5</v>
      </c>
      <c r="K26" s="66">
        <v>0</v>
      </c>
      <c r="L26" s="66">
        <v>9</v>
      </c>
      <c r="M26" s="66">
        <v>2</v>
      </c>
      <c r="N26" s="66">
        <v>133</v>
      </c>
      <c r="O26" s="66">
        <v>137</v>
      </c>
    </row>
    <row r="27" spans="1:15" ht="15">
      <c r="A27" s="66" t="s">
        <v>285</v>
      </c>
      <c r="B27" s="66" t="s">
        <v>286</v>
      </c>
      <c r="C27" s="66">
        <v>22</v>
      </c>
      <c r="D27" s="66">
        <v>1</v>
      </c>
      <c r="E27" s="66">
        <v>0</v>
      </c>
      <c r="F27" s="66">
        <v>9</v>
      </c>
      <c r="G27" s="66">
        <v>4</v>
      </c>
      <c r="H27" s="66">
        <v>0</v>
      </c>
      <c r="I27" s="66">
        <v>21</v>
      </c>
      <c r="J27" s="66">
        <v>1</v>
      </c>
      <c r="K27" s="66">
        <v>0</v>
      </c>
      <c r="L27" s="66">
        <v>8</v>
      </c>
      <c r="M27" s="66">
        <v>4</v>
      </c>
      <c r="N27" s="66">
        <v>32</v>
      </c>
      <c r="O27" s="66">
        <v>36</v>
      </c>
    </row>
    <row r="28" spans="1:15" ht="15">
      <c r="A28" s="66" t="s">
        <v>334</v>
      </c>
      <c r="B28" s="66" t="s">
        <v>335</v>
      </c>
      <c r="C28" s="66">
        <v>31</v>
      </c>
      <c r="D28" s="66">
        <v>82</v>
      </c>
      <c r="E28" s="66">
        <v>0</v>
      </c>
      <c r="F28" s="66">
        <v>14</v>
      </c>
      <c r="G28" s="66">
        <v>1</v>
      </c>
      <c r="H28" s="66">
        <v>0</v>
      </c>
      <c r="I28" s="66">
        <v>31</v>
      </c>
      <c r="J28" s="66">
        <v>81</v>
      </c>
      <c r="K28" s="66">
        <v>0</v>
      </c>
      <c r="L28" s="66">
        <v>14</v>
      </c>
      <c r="M28" s="66">
        <v>1</v>
      </c>
      <c r="N28" s="66">
        <v>127</v>
      </c>
      <c r="O28" s="66">
        <v>128</v>
      </c>
    </row>
    <row r="29" spans="1:15" ht="15">
      <c r="A29" s="66" t="s">
        <v>287</v>
      </c>
      <c r="B29" s="66" t="s">
        <v>288</v>
      </c>
      <c r="C29" s="66">
        <v>52</v>
      </c>
      <c r="D29" s="66">
        <v>1</v>
      </c>
      <c r="E29" s="66">
        <v>0</v>
      </c>
      <c r="F29" s="66">
        <v>2</v>
      </c>
      <c r="G29" s="66">
        <v>0</v>
      </c>
      <c r="H29" s="66">
        <v>0</v>
      </c>
      <c r="I29" s="66">
        <v>49</v>
      </c>
      <c r="J29" s="66">
        <v>1</v>
      </c>
      <c r="K29" s="66">
        <v>0</v>
      </c>
      <c r="L29" s="66">
        <v>2</v>
      </c>
      <c r="M29" s="66">
        <v>0</v>
      </c>
      <c r="N29" s="66">
        <v>55</v>
      </c>
      <c r="O29" s="66">
        <v>55</v>
      </c>
    </row>
    <row r="30" spans="1:15" ht="15">
      <c r="A30" s="66" t="s">
        <v>289</v>
      </c>
      <c r="B30" s="66" t="s">
        <v>290</v>
      </c>
      <c r="C30" s="66">
        <v>108</v>
      </c>
      <c r="D30" s="66">
        <v>44</v>
      </c>
      <c r="E30" s="66">
        <v>7</v>
      </c>
      <c r="F30" s="66">
        <v>35</v>
      </c>
      <c r="G30" s="66">
        <v>62</v>
      </c>
      <c r="H30" s="66">
        <v>0</v>
      </c>
      <c r="I30" s="66">
        <v>108</v>
      </c>
      <c r="J30" s="66">
        <v>44</v>
      </c>
      <c r="K30" s="66">
        <v>7</v>
      </c>
      <c r="L30" s="66">
        <v>35</v>
      </c>
      <c r="M30" s="66">
        <v>62</v>
      </c>
      <c r="N30" s="66">
        <v>194</v>
      </c>
      <c r="O30" s="66">
        <v>256</v>
      </c>
    </row>
    <row r="31" spans="1:15" ht="15">
      <c r="A31" s="66" t="s">
        <v>336</v>
      </c>
      <c r="B31" s="66" t="s">
        <v>337</v>
      </c>
      <c r="C31" s="66">
        <v>1</v>
      </c>
      <c r="D31" s="66">
        <v>0</v>
      </c>
      <c r="E31" s="66">
        <v>4</v>
      </c>
      <c r="F31" s="66">
        <v>0</v>
      </c>
      <c r="G31" s="66">
        <v>0</v>
      </c>
      <c r="H31" s="66">
        <v>0</v>
      </c>
      <c r="I31" s="66">
        <v>1</v>
      </c>
      <c r="J31" s="66">
        <v>0</v>
      </c>
      <c r="K31" s="66">
        <v>4</v>
      </c>
      <c r="L31" s="66">
        <v>0</v>
      </c>
      <c r="M31" s="66">
        <v>0</v>
      </c>
      <c r="N31" s="66">
        <v>5</v>
      </c>
      <c r="O31" s="66">
        <v>5</v>
      </c>
    </row>
    <row r="32" spans="1:15" ht="15">
      <c r="A32" s="66" t="s">
        <v>338</v>
      </c>
      <c r="B32" s="66" t="s">
        <v>339</v>
      </c>
      <c r="C32" s="66">
        <v>0</v>
      </c>
      <c r="D32" s="66">
        <v>0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1</v>
      </c>
      <c r="N32" s="66">
        <v>0</v>
      </c>
      <c r="O32" s="66">
        <v>1</v>
      </c>
    </row>
    <row r="33" spans="1:15" ht="15">
      <c r="A33" s="66" t="s">
        <v>340</v>
      </c>
      <c r="B33" s="66" t="s">
        <v>341</v>
      </c>
      <c r="C33" s="66">
        <v>0</v>
      </c>
      <c r="D33" s="66">
        <v>0</v>
      </c>
      <c r="E33" s="66">
        <v>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1</v>
      </c>
      <c r="L33" s="66">
        <v>0</v>
      </c>
      <c r="M33" s="66">
        <v>0</v>
      </c>
      <c r="N33" s="66">
        <v>1</v>
      </c>
      <c r="O33" s="66">
        <v>1</v>
      </c>
    </row>
    <row r="34" spans="1:15" ht="15">
      <c r="A34" s="66" t="s">
        <v>342</v>
      </c>
      <c r="B34" s="66" t="s">
        <v>343</v>
      </c>
      <c r="C34" s="66">
        <v>0</v>
      </c>
      <c r="D34" s="66">
        <v>0</v>
      </c>
      <c r="E34" s="66">
        <v>0</v>
      </c>
      <c r="F34" s="66">
        <v>0</v>
      </c>
      <c r="G34" s="66">
        <v>2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2</v>
      </c>
      <c r="N34" s="66">
        <v>0</v>
      </c>
      <c r="O34" s="66">
        <v>2</v>
      </c>
    </row>
    <row r="35" spans="1:15" ht="15">
      <c r="A35" s="66" t="s">
        <v>330</v>
      </c>
      <c r="B35" s="66" t="s">
        <v>331</v>
      </c>
      <c r="C35" s="66">
        <v>14</v>
      </c>
      <c r="D35" s="66">
        <v>2</v>
      </c>
      <c r="E35" s="66">
        <v>37</v>
      </c>
      <c r="F35" s="66">
        <v>1</v>
      </c>
      <c r="G35" s="66">
        <v>37</v>
      </c>
      <c r="H35" s="66">
        <v>0</v>
      </c>
      <c r="I35" s="66">
        <v>4</v>
      </c>
      <c r="J35" s="66">
        <v>2</v>
      </c>
      <c r="K35" s="66">
        <v>18</v>
      </c>
      <c r="L35" s="66">
        <v>0</v>
      </c>
      <c r="M35" s="66">
        <v>25</v>
      </c>
      <c r="N35" s="66">
        <v>54</v>
      </c>
      <c r="O35" s="66">
        <v>91</v>
      </c>
    </row>
    <row r="36" spans="1:15" ht="15">
      <c r="A36" s="66" t="s">
        <v>254</v>
      </c>
      <c r="B36" s="66" t="s">
        <v>255</v>
      </c>
      <c r="C36" s="66">
        <v>0</v>
      </c>
      <c r="D36" s="66">
        <v>0</v>
      </c>
      <c r="E36" s="66">
        <v>6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6</v>
      </c>
      <c r="L36" s="66">
        <v>0</v>
      </c>
      <c r="M36" s="66">
        <v>0</v>
      </c>
      <c r="N36" s="66">
        <v>6</v>
      </c>
      <c r="O36" s="66">
        <v>6</v>
      </c>
    </row>
    <row r="37" spans="1:15" ht="15">
      <c r="A37" s="66" t="s">
        <v>256</v>
      </c>
      <c r="B37" s="66" t="s">
        <v>257</v>
      </c>
      <c r="C37" s="66">
        <v>1</v>
      </c>
      <c r="D37" s="66">
        <v>0</v>
      </c>
      <c r="E37" s="66">
        <v>5</v>
      </c>
      <c r="F37" s="66">
        <v>0</v>
      </c>
      <c r="G37" s="66">
        <v>0</v>
      </c>
      <c r="H37" s="66">
        <v>0</v>
      </c>
      <c r="I37" s="66">
        <v>1</v>
      </c>
      <c r="J37" s="66">
        <v>0</v>
      </c>
      <c r="K37" s="66">
        <v>4</v>
      </c>
      <c r="L37" s="66">
        <v>0</v>
      </c>
      <c r="M37" s="66">
        <v>0</v>
      </c>
      <c r="N37" s="66">
        <v>6</v>
      </c>
      <c r="O37" s="66">
        <v>6</v>
      </c>
    </row>
    <row r="38" spans="1:15" ht="15">
      <c r="A38" s="66" t="s">
        <v>258</v>
      </c>
      <c r="B38" s="66" t="s">
        <v>259</v>
      </c>
      <c r="C38" s="66">
        <v>0</v>
      </c>
      <c r="D38" s="66">
        <v>0</v>
      </c>
      <c r="E38" s="66">
        <v>8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4</v>
      </c>
      <c r="L38" s="66">
        <v>0</v>
      </c>
      <c r="M38" s="66">
        <v>0</v>
      </c>
      <c r="N38" s="66">
        <v>8</v>
      </c>
      <c r="O38" s="66">
        <v>8</v>
      </c>
    </row>
    <row r="39" spans="1:15" ht="15">
      <c r="A39" s="66" t="s">
        <v>260</v>
      </c>
      <c r="B39" s="66" t="s">
        <v>261</v>
      </c>
      <c r="C39" s="66">
        <v>1</v>
      </c>
      <c r="D39" s="66">
        <v>0</v>
      </c>
      <c r="E39" s="66">
        <v>11</v>
      </c>
      <c r="F39" s="66">
        <v>1</v>
      </c>
      <c r="G39" s="66">
        <v>1</v>
      </c>
      <c r="H39" s="66">
        <v>0</v>
      </c>
      <c r="I39" s="66">
        <v>1</v>
      </c>
      <c r="J39" s="66">
        <v>0</v>
      </c>
      <c r="K39" s="66">
        <v>11</v>
      </c>
      <c r="L39" s="66">
        <v>1</v>
      </c>
      <c r="M39" s="66">
        <v>1</v>
      </c>
      <c r="N39" s="66">
        <v>13</v>
      </c>
      <c r="O39" s="66">
        <v>14</v>
      </c>
    </row>
    <row r="40" spans="1:15" ht="15">
      <c r="A40" s="66" t="s">
        <v>262</v>
      </c>
      <c r="B40" s="66" t="s">
        <v>263</v>
      </c>
      <c r="C40" s="66">
        <v>2</v>
      </c>
      <c r="D40" s="66">
        <v>0</v>
      </c>
      <c r="E40" s="66">
        <v>2</v>
      </c>
      <c r="F40" s="66">
        <v>0</v>
      </c>
      <c r="G40" s="66">
        <v>1</v>
      </c>
      <c r="H40" s="66">
        <v>0</v>
      </c>
      <c r="I40" s="66">
        <v>2</v>
      </c>
      <c r="J40" s="66">
        <v>0</v>
      </c>
      <c r="K40" s="66">
        <v>1</v>
      </c>
      <c r="L40" s="66">
        <v>0</v>
      </c>
      <c r="M40" s="66">
        <v>1</v>
      </c>
      <c r="N40" s="66">
        <v>4</v>
      </c>
      <c r="O40" s="66">
        <v>5</v>
      </c>
    </row>
    <row r="41" spans="1:15" ht="15">
      <c r="A41" s="66" t="s">
        <v>264</v>
      </c>
      <c r="B41" s="66" t="s">
        <v>265</v>
      </c>
      <c r="C41" s="66">
        <v>2</v>
      </c>
      <c r="D41" s="66">
        <v>0</v>
      </c>
      <c r="E41" s="66">
        <v>24</v>
      </c>
      <c r="F41" s="66">
        <v>0</v>
      </c>
      <c r="G41" s="66">
        <v>3</v>
      </c>
      <c r="H41" s="66">
        <v>0</v>
      </c>
      <c r="I41" s="66">
        <v>2</v>
      </c>
      <c r="J41" s="66">
        <v>0</v>
      </c>
      <c r="K41" s="66">
        <v>22</v>
      </c>
      <c r="L41" s="66">
        <v>0</v>
      </c>
      <c r="M41" s="66">
        <v>3</v>
      </c>
      <c r="N41" s="66">
        <v>26</v>
      </c>
      <c r="O41" s="66">
        <v>29</v>
      </c>
    </row>
    <row r="42" spans="1:15" ht="15">
      <c r="A42" s="66" t="s">
        <v>279</v>
      </c>
      <c r="B42" s="66" t="s">
        <v>280</v>
      </c>
      <c r="C42" s="66">
        <v>231</v>
      </c>
      <c r="D42" s="66">
        <v>9</v>
      </c>
      <c r="E42" s="66">
        <v>0</v>
      </c>
      <c r="F42" s="66">
        <v>13</v>
      </c>
      <c r="G42" s="66">
        <v>11</v>
      </c>
      <c r="H42" s="66">
        <v>2</v>
      </c>
      <c r="I42" s="66">
        <v>231</v>
      </c>
      <c r="J42" s="66">
        <v>9</v>
      </c>
      <c r="K42" s="66">
        <v>0</v>
      </c>
      <c r="L42" s="66">
        <v>13</v>
      </c>
      <c r="M42" s="66">
        <v>11</v>
      </c>
      <c r="N42" s="66">
        <v>255</v>
      </c>
      <c r="O42" s="66">
        <v>266</v>
      </c>
    </row>
    <row r="43" spans="1:15" ht="15">
      <c r="A43" s="66" t="s">
        <v>307</v>
      </c>
      <c r="B43" s="66" t="s">
        <v>308</v>
      </c>
      <c r="C43" s="66">
        <v>14</v>
      </c>
      <c r="D43" s="66">
        <v>0</v>
      </c>
      <c r="E43" s="66">
        <v>79</v>
      </c>
      <c r="F43" s="66">
        <v>0</v>
      </c>
      <c r="G43" s="66">
        <v>13</v>
      </c>
      <c r="H43" s="66">
        <v>0</v>
      </c>
      <c r="I43" s="66">
        <v>14</v>
      </c>
      <c r="J43" s="66">
        <v>0</v>
      </c>
      <c r="K43" s="66">
        <v>79</v>
      </c>
      <c r="L43" s="66">
        <v>0</v>
      </c>
      <c r="M43" s="66">
        <v>13</v>
      </c>
      <c r="N43" s="66">
        <v>93</v>
      </c>
      <c r="O43" s="66">
        <v>106</v>
      </c>
    </row>
    <row r="44" spans="1:15" ht="15">
      <c r="A44" s="66" t="s">
        <v>309</v>
      </c>
      <c r="B44" s="66" t="s">
        <v>310</v>
      </c>
      <c r="C44" s="66">
        <v>77</v>
      </c>
      <c r="D44" s="66">
        <v>0</v>
      </c>
      <c r="E44" s="66">
        <v>75</v>
      </c>
      <c r="F44" s="66">
        <v>1</v>
      </c>
      <c r="G44" s="66">
        <v>21</v>
      </c>
      <c r="H44" s="66">
        <v>0</v>
      </c>
      <c r="I44" s="66">
        <v>63</v>
      </c>
      <c r="J44" s="66">
        <v>0</v>
      </c>
      <c r="K44" s="66">
        <v>64</v>
      </c>
      <c r="L44" s="66">
        <v>1</v>
      </c>
      <c r="M44" s="66">
        <v>20</v>
      </c>
      <c r="N44" s="66">
        <v>153</v>
      </c>
      <c r="O44" s="66">
        <v>174</v>
      </c>
    </row>
    <row r="45" spans="1:15" ht="15">
      <c r="A45" s="66" t="s">
        <v>270</v>
      </c>
      <c r="B45" s="66" t="s">
        <v>271</v>
      </c>
      <c r="C45" s="66">
        <v>42</v>
      </c>
      <c r="D45" s="66">
        <v>22</v>
      </c>
      <c r="E45" s="66">
        <v>0</v>
      </c>
      <c r="F45" s="66">
        <v>20</v>
      </c>
      <c r="G45" s="66">
        <v>44</v>
      </c>
      <c r="H45" s="66">
        <v>0</v>
      </c>
      <c r="I45" s="66">
        <v>42</v>
      </c>
      <c r="J45" s="66">
        <v>22</v>
      </c>
      <c r="K45" s="66">
        <v>0</v>
      </c>
      <c r="L45" s="66">
        <v>20</v>
      </c>
      <c r="M45" s="66">
        <v>44</v>
      </c>
      <c r="N45" s="66">
        <v>84</v>
      </c>
      <c r="O45" s="66">
        <v>128</v>
      </c>
    </row>
    <row r="46" spans="1:15" ht="15">
      <c r="A46" s="66" t="s">
        <v>311</v>
      </c>
      <c r="B46" s="66" t="s">
        <v>312</v>
      </c>
      <c r="C46" s="66">
        <v>0</v>
      </c>
      <c r="D46" s="66">
        <v>0</v>
      </c>
      <c r="E46" s="66">
        <v>0</v>
      </c>
      <c r="F46" s="66">
        <v>1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1</v>
      </c>
      <c r="O46" s="66">
        <v>1</v>
      </c>
    </row>
    <row r="47" spans="1:15" ht="15">
      <c r="A47" s="66" t="s">
        <v>313</v>
      </c>
      <c r="B47" s="66" t="s">
        <v>314</v>
      </c>
      <c r="C47" s="66">
        <v>12</v>
      </c>
      <c r="D47" s="66">
        <v>0</v>
      </c>
      <c r="E47" s="66">
        <v>11</v>
      </c>
      <c r="F47" s="66">
        <v>0</v>
      </c>
      <c r="G47" s="66">
        <v>3</v>
      </c>
      <c r="H47" s="66">
        <v>0</v>
      </c>
      <c r="I47" s="66">
        <v>9</v>
      </c>
      <c r="J47" s="66">
        <v>0</v>
      </c>
      <c r="K47" s="66">
        <v>10</v>
      </c>
      <c r="L47" s="66">
        <v>0</v>
      </c>
      <c r="M47" s="66">
        <v>3</v>
      </c>
      <c r="N47" s="66">
        <v>23</v>
      </c>
      <c r="O47" s="66">
        <v>26</v>
      </c>
    </row>
    <row r="48" spans="1:15" ht="15">
      <c r="A48" s="66" t="s">
        <v>315</v>
      </c>
      <c r="B48" s="66" t="s">
        <v>316</v>
      </c>
      <c r="C48" s="66">
        <v>109</v>
      </c>
      <c r="D48" s="66">
        <v>1</v>
      </c>
      <c r="E48" s="66">
        <v>116</v>
      </c>
      <c r="F48" s="66">
        <v>3</v>
      </c>
      <c r="G48" s="66">
        <v>27</v>
      </c>
      <c r="H48" s="66">
        <v>1</v>
      </c>
      <c r="I48" s="66">
        <v>64</v>
      </c>
      <c r="J48" s="66">
        <v>1</v>
      </c>
      <c r="K48" s="66">
        <v>64</v>
      </c>
      <c r="L48" s="66">
        <v>2</v>
      </c>
      <c r="M48" s="66">
        <v>22</v>
      </c>
      <c r="N48" s="66">
        <v>230</v>
      </c>
      <c r="O48" s="66">
        <v>257</v>
      </c>
    </row>
    <row r="49" spans="1:15" ht="15">
      <c r="A49" s="66" t="s">
        <v>332</v>
      </c>
      <c r="B49" s="66" t="s">
        <v>333</v>
      </c>
      <c r="C49" s="66">
        <v>71</v>
      </c>
      <c r="D49" s="66">
        <v>3</v>
      </c>
      <c r="E49" s="66">
        <v>140</v>
      </c>
      <c r="F49" s="66">
        <v>6</v>
      </c>
      <c r="G49" s="66">
        <v>71</v>
      </c>
      <c r="H49" s="66">
        <v>0</v>
      </c>
      <c r="I49" s="66">
        <v>34</v>
      </c>
      <c r="J49" s="66">
        <v>3</v>
      </c>
      <c r="K49" s="66">
        <v>77</v>
      </c>
      <c r="L49" s="66">
        <v>3</v>
      </c>
      <c r="M49" s="66">
        <v>39</v>
      </c>
      <c r="N49" s="66">
        <v>220</v>
      </c>
      <c r="O49" s="66">
        <v>291</v>
      </c>
    </row>
    <row r="50" spans="1:15" ht="15">
      <c r="A50" s="66" t="s">
        <v>186</v>
      </c>
      <c r="B50" s="66" t="s">
        <v>187</v>
      </c>
      <c r="C50" s="66">
        <v>38</v>
      </c>
      <c r="D50" s="66">
        <v>8</v>
      </c>
      <c r="E50" s="66">
        <v>138</v>
      </c>
      <c r="F50" s="66">
        <v>8</v>
      </c>
      <c r="G50" s="66">
        <v>187</v>
      </c>
      <c r="H50" s="66">
        <v>0</v>
      </c>
      <c r="I50" s="66">
        <v>38</v>
      </c>
      <c r="J50" s="66">
        <v>8</v>
      </c>
      <c r="K50" s="66">
        <v>138</v>
      </c>
      <c r="L50" s="66">
        <v>8</v>
      </c>
      <c r="M50" s="66">
        <v>187</v>
      </c>
      <c r="N50" s="66">
        <v>192</v>
      </c>
      <c r="O50" s="66">
        <v>379</v>
      </c>
    </row>
    <row r="51" spans="1:15" ht="15">
      <c r="A51" s="66" t="s">
        <v>194</v>
      </c>
      <c r="B51" s="66" t="s">
        <v>195</v>
      </c>
      <c r="C51" s="66">
        <v>98</v>
      </c>
      <c r="D51" s="66">
        <v>58</v>
      </c>
      <c r="E51" s="66">
        <v>0</v>
      </c>
      <c r="F51" s="66">
        <v>38</v>
      </c>
      <c r="G51" s="66">
        <v>73</v>
      </c>
      <c r="H51" s="66">
        <v>0</v>
      </c>
      <c r="I51" s="66">
        <v>98</v>
      </c>
      <c r="J51" s="66">
        <v>58</v>
      </c>
      <c r="K51" s="66">
        <v>0</v>
      </c>
      <c r="L51" s="66">
        <v>38</v>
      </c>
      <c r="M51" s="66">
        <v>73</v>
      </c>
      <c r="N51" s="66">
        <v>194</v>
      </c>
      <c r="O51" s="66">
        <v>267</v>
      </c>
    </row>
    <row r="52" spans="1:15" ht="15">
      <c r="A52" s="66" t="s">
        <v>200</v>
      </c>
      <c r="B52" s="66" t="s">
        <v>201</v>
      </c>
      <c r="C52" s="66">
        <v>63</v>
      </c>
      <c r="D52" s="66">
        <v>0</v>
      </c>
      <c r="E52" s="66">
        <v>11</v>
      </c>
      <c r="F52" s="66">
        <v>1</v>
      </c>
      <c r="G52" s="66">
        <v>7</v>
      </c>
      <c r="H52" s="66">
        <v>0</v>
      </c>
      <c r="I52" s="66">
        <v>63</v>
      </c>
      <c r="J52" s="66">
        <v>0</v>
      </c>
      <c r="K52" s="66">
        <v>11</v>
      </c>
      <c r="L52" s="66">
        <v>1</v>
      </c>
      <c r="M52" s="66">
        <v>7</v>
      </c>
      <c r="N52" s="66">
        <v>75</v>
      </c>
      <c r="O52" s="66">
        <v>82</v>
      </c>
    </row>
    <row r="53" spans="1:15" ht="15">
      <c r="A53" s="66" t="s">
        <v>206</v>
      </c>
      <c r="B53" s="66" t="s">
        <v>207</v>
      </c>
      <c r="C53" s="66">
        <v>37</v>
      </c>
      <c r="D53" s="66">
        <v>49</v>
      </c>
      <c r="E53" s="66">
        <v>155</v>
      </c>
      <c r="F53" s="66">
        <v>40</v>
      </c>
      <c r="G53" s="66">
        <v>94</v>
      </c>
      <c r="H53" s="66">
        <v>0</v>
      </c>
      <c r="I53" s="66">
        <v>37</v>
      </c>
      <c r="J53" s="66">
        <v>49</v>
      </c>
      <c r="K53" s="66">
        <v>155</v>
      </c>
      <c r="L53" s="66">
        <v>40</v>
      </c>
      <c r="M53" s="66">
        <v>94</v>
      </c>
      <c r="N53" s="66">
        <v>281</v>
      </c>
      <c r="O53" s="66">
        <v>375</v>
      </c>
    </row>
    <row r="54" spans="1:15" ht="15">
      <c r="A54" s="66" t="s">
        <v>212</v>
      </c>
      <c r="B54" s="66" t="s">
        <v>213</v>
      </c>
      <c r="C54" s="66">
        <v>40</v>
      </c>
      <c r="D54" s="66">
        <v>12</v>
      </c>
      <c r="E54" s="66">
        <v>0</v>
      </c>
      <c r="F54" s="66">
        <v>22</v>
      </c>
      <c r="G54" s="66">
        <v>17</v>
      </c>
      <c r="H54" s="66">
        <v>0</v>
      </c>
      <c r="I54" s="66">
        <v>40</v>
      </c>
      <c r="J54" s="66">
        <v>12</v>
      </c>
      <c r="K54" s="66">
        <v>0</v>
      </c>
      <c r="L54" s="66">
        <v>22</v>
      </c>
      <c r="M54" s="66">
        <v>17</v>
      </c>
      <c r="N54" s="66">
        <v>74</v>
      </c>
      <c r="O54" s="66">
        <v>91</v>
      </c>
    </row>
    <row r="55" spans="1:15" ht="15">
      <c r="A55" s="66" t="s">
        <v>214</v>
      </c>
      <c r="B55" s="66" t="s">
        <v>215</v>
      </c>
      <c r="C55" s="66">
        <v>59</v>
      </c>
      <c r="D55" s="66">
        <v>6</v>
      </c>
      <c r="E55" s="66">
        <v>3</v>
      </c>
      <c r="F55" s="66">
        <v>16</v>
      </c>
      <c r="G55" s="66">
        <v>35</v>
      </c>
      <c r="H55" s="66">
        <v>0</v>
      </c>
      <c r="I55" s="66">
        <v>59</v>
      </c>
      <c r="J55" s="66">
        <v>6</v>
      </c>
      <c r="K55" s="66">
        <v>3</v>
      </c>
      <c r="L55" s="66">
        <v>16</v>
      </c>
      <c r="M55" s="66">
        <v>35</v>
      </c>
      <c r="N55" s="66">
        <v>84</v>
      </c>
      <c r="O55" s="66">
        <v>119</v>
      </c>
    </row>
    <row r="56" spans="1:15" ht="15">
      <c r="A56" s="66" t="s">
        <v>208</v>
      </c>
      <c r="B56" s="66" t="s">
        <v>209</v>
      </c>
      <c r="C56" s="66">
        <v>6</v>
      </c>
      <c r="D56" s="66">
        <v>5</v>
      </c>
      <c r="E56" s="66">
        <v>9</v>
      </c>
      <c r="F56" s="66">
        <v>2</v>
      </c>
      <c r="G56" s="66">
        <v>9</v>
      </c>
      <c r="H56" s="66">
        <v>0</v>
      </c>
      <c r="I56" s="66">
        <v>6</v>
      </c>
      <c r="J56" s="66">
        <v>5</v>
      </c>
      <c r="K56" s="66">
        <v>9</v>
      </c>
      <c r="L56" s="66">
        <v>2</v>
      </c>
      <c r="M56" s="66">
        <v>9</v>
      </c>
      <c r="N56" s="66">
        <v>22</v>
      </c>
      <c r="O56" s="66">
        <v>31</v>
      </c>
    </row>
    <row r="57" spans="1:15" ht="15">
      <c r="A57" s="66" t="s">
        <v>188</v>
      </c>
      <c r="B57" s="66" t="s">
        <v>189</v>
      </c>
      <c r="C57" s="66">
        <v>135</v>
      </c>
      <c r="D57" s="66">
        <v>3</v>
      </c>
      <c r="E57" s="66">
        <v>222</v>
      </c>
      <c r="F57" s="66">
        <v>7</v>
      </c>
      <c r="G57" s="66">
        <v>106</v>
      </c>
      <c r="H57" s="66">
        <v>0</v>
      </c>
      <c r="I57" s="66">
        <v>135</v>
      </c>
      <c r="J57" s="66">
        <v>3</v>
      </c>
      <c r="K57" s="66">
        <v>222</v>
      </c>
      <c r="L57" s="66">
        <v>7</v>
      </c>
      <c r="M57" s="66">
        <v>106</v>
      </c>
      <c r="N57" s="66">
        <v>367</v>
      </c>
      <c r="O57" s="66">
        <v>473</v>
      </c>
    </row>
    <row r="58" spans="1:15" ht="15">
      <c r="A58" s="66" t="s">
        <v>196</v>
      </c>
      <c r="B58" s="66" t="s">
        <v>197</v>
      </c>
      <c r="C58" s="66">
        <v>244</v>
      </c>
      <c r="D58" s="66">
        <v>93</v>
      </c>
      <c r="E58" s="66">
        <v>0</v>
      </c>
      <c r="F58" s="66">
        <v>78</v>
      </c>
      <c r="G58" s="66">
        <v>121</v>
      </c>
      <c r="H58" s="66">
        <v>1</v>
      </c>
      <c r="I58" s="66">
        <v>244</v>
      </c>
      <c r="J58" s="66">
        <v>93</v>
      </c>
      <c r="K58" s="66">
        <v>0</v>
      </c>
      <c r="L58" s="66">
        <v>78</v>
      </c>
      <c r="M58" s="66">
        <v>121</v>
      </c>
      <c r="N58" s="66">
        <v>416</v>
      </c>
      <c r="O58" s="66">
        <v>537</v>
      </c>
    </row>
    <row r="59" spans="1:15" ht="15">
      <c r="A59" s="66" t="s">
        <v>202</v>
      </c>
      <c r="B59" s="66" t="s">
        <v>203</v>
      </c>
      <c r="C59" s="66">
        <v>233</v>
      </c>
      <c r="D59" s="66">
        <v>11</v>
      </c>
      <c r="E59" s="66">
        <v>153</v>
      </c>
      <c r="F59" s="66">
        <v>7</v>
      </c>
      <c r="G59" s="66">
        <v>165</v>
      </c>
      <c r="H59" s="66">
        <v>0</v>
      </c>
      <c r="I59" s="66">
        <v>233</v>
      </c>
      <c r="J59" s="66">
        <v>11</v>
      </c>
      <c r="K59" s="66">
        <v>153</v>
      </c>
      <c r="L59" s="66">
        <v>7</v>
      </c>
      <c r="M59" s="66">
        <v>165</v>
      </c>
      <c r="N59" s="66">
        <v>404</v>
      </c>
      <c r="O59" s="66">
        <v>569</v>
      </c>
    </row>
    <row r="60" spans="1:15" ht="15">
      <c r="A60" s="66" t="s">
        <v>216</v>
      </c>
      <c r="B60" s="66" t="s">
        <v>217</v>
      </c>
      <c r="C60" s="66">
        <v>37</v>
      </c>
      <c r="D60" s="66">
        <v>38</v>
      </c>
      <c r="E60" s="66">
        <v>1</v>
      </c>
      <c r="F60" s="66">
        <v>17</v>
      </c>
      <c r="G60" s="66">
        <v>69</v>
      </c>
      <c r="H60" s="66">
        <v>0</v>
      </c>
      <c r="I60" s="66">
        <v>37</v>
      </c>
      <c r="J60" s="66">
        <v>38</v>
      </c>
      <c r="K60" s="66">
        <v>1</v>
      </c>
      <c r="L60" s="66">
        <v>17</v>
      </c>
      <c r="M60" s="66">
        <v>69</v>
      </c>
      <c r="N60" s="66">
        <v>93</v>
      </c>
      <c r="O60" s="66">
        <v>162</v>
      </c>
    </row>
    <row r="61" spans="1:15" ht="15">
      <c r="A61" s="66" t="s">
        <v>220</v>
      </c>
      <c r="B61" s="66" t="s">
        <v>221</v>
      </c>
      <c r="C61" s="66">
        <v>383</v>
      </c>
      <c r="D61" s="66">
        <v>174</v>
      </c>
      <c r="E61" s="66">
        <v>0</v>
      </c>
      <c r="F61" s="66">
        <v>297</v>
      </c>
      <c r="G61" s="66">
        <v>1009</v>
      </c>
      <c r="H61" s="66">
        <v>0</v>
      </c>
      <c r="I61" s="66">
        <v>383</v>
      </c>
      <c r="J61" s="66">
        <v>174</v>
      </c>
      <c r="K61" s="66">
        <v>0</v>
      </c>
      <c r="L61" s="66">
        <v>297</v>
      </c>
      <c r="M61" s="66">
        <v>1009</v>
      </c>
      <c r="N61" s="66">
        <v>854</v>
      </c>
      <c r="O61" s="66">
        <v>1863</v>
      </c>
    </row>
    <row r="62" spans="1:15" ht="15">
      <c r="A62" s="66" t="s">
        <v>192</v>
      </c>
      <c r="B62" s="66" t="s">
        <v>193</v>
      </c>
      <c r="C62" s="66">
        <v>102</v>
      </c>
      <c r="D62" s="66">
        <v>10</v>
      </c>
      <c r="E62" s="66">
        <v>0</v>
      </c>
      <c r="F62" s="66">
        <v>20</v>
      </c>
      <c r="G62" s="66">
        <v>35</v>
      </c>
      <c r="H62" s="66">
        <v>0</v>
      </c>
      <c r="I62" s="66">
        <v>102</v>
      </c>
      <c r="J62" s="66">
        <v>10</v>
      </c>
      <c r="K62" s="66">
        <v>0</v>
      </c>
      <c r="L62" s="66">
        <v>20</v>
      </c>
      <c r="M62" s="66">
        <v>35</v>
      </c>
      <c r="N62" s="66">
        <v>132</v>
      </c>
      <c r="O62" s="66">
        <v>167</v>
      </c>
    </row>
    <row r="63" spans="1:15" ht="15">
      <c r="A63" s="66" t="s">
        <v>198</v>
      </c>
      <c r="B63" s="66" t="s">
        <v>199</v>
      </c>
      <c r="C63" s="66">
        <v>5</v>
      </c>
      <c r="D63" s="66">
        <v>3</v>
      </c>
      <c r="E63" s="66">
        <v>0</v>
      </c>
      <c r="F63" s="66">
        <v>16</v>
      </c>
      <c r="G63" s="66">
        <v>5</v>
      </c>
      <c r="H63" s="66">
        <v>0</v>
      </c>
      <c r="I63" s="66">
        <v>5</v>
      </c>
      <c r="J63" s="66">
        <v>3</v>
      </c>
      <c r="K63" s="66">
        <v>0</v>
      </c>
      <c r="L63" s="66">
        <v>15</v>
      </c>
      <c r="M63" s="66">
        <v>5</v>
      </c>
      <c r="N63" s="66">
        <v>24</v>
      </c>
      <c r="O63" s="66">
        <v>29</v>
      </c>
    </row>
    <row r="64" spans="1:15" ht="15">
      <c r="A64" s="66" t="s">
        <v>204</v>
      </c>
      <c r="B64" s="66" t="s">
        <v>205</v>
      </c>
      <c r="C64" s="66">
        <v>226</v>
      </c>
      <c r="D64" s="66">
        <v>15</v>
      </c>
      <c r="E64" s="66">
        <v>358</v>
      </c>
      <c r="F64" s="66">
        <v>3</v>
      </c>
      <c r="G64" s="66">
        <v>133</v>
      </c>
      <c r="H64" s="66">
        <v>1</v>
      </c>
      <c r="I64" s="66">
        <v>226</v>
      </c>
      <c r="J64" s="66">
        <v>15</v>
      </c>
      <c r="K64" s="66">
        <v>358</v>
      </c>
      <c r="L64" s="66">
        <v>3</v>
      </c>
      <c r="M64" s="66">
        <v>133</v>
      </c>
      <c r="N64" s="66">
        <v>603</v>
      </c>
      <c r="O64" s="66">
        <v>736</v>
      </c>
    </row>
    <row r="65" spans="1:15" ht="15">
      <c r="A65" s="66" t="s">
        <v>210</v>
      </c>
      <c r="B65" s="66" t="s">
        <v>211</v>
      </c>
      <c r="C65" s="66">
        <v>16</v>
      </c>
      <c r="D65" s="66">
        <v>5</v>
      </c>
      <c r="E65" s="66">
        <v>95</v>
      </c>
      <c r="F65" s="66">
        <v>17</v>
      </c>
      <c r="G65" s="66">
        <v>55</v>
      </c>
      <c r="H65" s="66">
        <v>0</v>
      </c>
      <c r="I65" s="66">
        <v>16</v>
      </c>
      <c r="J65" s="66">
        <v>5</v>
      </c>
      <c r="K65" s="66">
        <v>95</v>
      </c>
      <c r="L65" s="66">
        <v>17</v>
      </c>
      <c r="M65" s="66">
        <v>55</v>
      </c>
      <c r="N65" s="66">
        <v>133</v>
      </c>
      <c r="O65" s="66">
        <v>188</v>
      </c>
    </row>
    <row r="66" spans="1:15" ht="15">
      <c r="A66" s="66" t="s">
        <v>218</v>
      </c>
      <c r="B66" s="66" t="s">
        <v>219</v>
      </c>
      <c r="C66" s="66">
        <v>74</v>
      </c>
      <c r="D66" s="66">
        <v>3</v>
      </c>
      <c r="E66" s="66">
        <v>1</v>
      </c>
      <c r="F66" s="66">
        <v>16</v>
      </c>
      <c r="G66" s="66">
        <v>19</v>
      </c>
      <c r="H66" s="66">
        <v>0</v>
      </c>
      <c r="I66" s="66">
        <v>74</v>
      </c>
      <c r="J66" s="66">
        <v>3</v>
      </c>
      <c r="K66" s="66">
        <v>1</v>
      </c>
      <c r="L66" s="66">
        <v>16</v>
      </c>
      <c r="M66" s="66">
        <v>19</v>
      </c>
      <c r="N66" s="66">
        <v>94</v>
      </c>
      <c r="O66" s="66">
        <v>113</v>
      </c>
    </row>
    <row r="67" spans="1:15" ht="15">
      <c r="A67" s="66" t="s">
        <v>224</v>
      </c>
      <c r="B67" s="66" t="s">
        <v>225</v>
      </c>
      <c r="C67" s="66">
        <v>24</v>
      </c>
      <c r="D67" s="66">
        <v>2</v>
      </c>
      <c r="E67" s="66">
        <v>29</v>
      </c>
      <c r="F67" s="66">
        <v>2</v>
      </c>
      <c r="G67" s="66">
        <v>1</v>
      </c>
      <c r="H67" s="66">
        <v>0</v>
      </c>
      <c r="I67" s="66">
        <v>24</v>
      </c>
      <c r="J67" s="66">
        <v>2</v>
      </c>
      <c r="K67" s="66">
        <v>29</v>
      </c>
      <c r="L67" s="66">
        <v>2</v>
      </c>
      <c r="M67" s="66">
        <v>1</v>
      </c>
      <c r="N67" s="66">
        <v>57</v>
      </c>
      <c r="O67" s="66">
        <v>58</v>
      </c>
    </row>
    <row r="68" spans="1:15" ht="15">
      <c r="A68" s="66" t="s">
        <v>222</v>
      </c>
      <c r="B68" s="66" t="s">
        <v>223</v>
      </c>
      <c r="C68" s="66">
        <v>353</v>
      </c>
      <c r="D68" s="66">
        <v>61</v>
      </c>
      <c r="E68" s="66">
        <v>0</v>
      </c>
      <c r="F68" s="66">
        <v>250</v>
      </c>
      <c r="G68" s="66">
        <v>317</v>
      </c>
      <c r="H68" s="66">
        <v>1</v>
      </c>
      <c r="I68" s="66">
        <v>317</v>
      </c>
      <c r="J68" s="66">
        <v>58</v>
      </c>
      <c r="K68" s="66">
        <v>0</v>
      </c>
      <c r="L68" s="66">
        <v>240</v>
      </c>
      <c r="M68" s="66">
        <v>303</v>
      </c>
      <c r="N68" s="66">
        <v>665</v>
      </c>
      <c r="O68" s="66">
        <v>982</v>
      </c>
    </row>
    <row r="69" spans="1:15" ht="15">
      <c r="A69" s="66" t="s">
        <v>228</v>
      </c>
      <c r="B69" s="66" t="s">
        <v>229</v>
      </c>
      <c r="C69" s="66">
        <v>553</v>
      </c>
      <c r="D69" s="66">
        <v>3</v>
      </c>
      <c r="E69" s="66">
        <v>156</v>
      </c>
      <c r="F69" s="66">
        <v>23</v>
      </c>
      <c r="G69" s="66">
        <v>6</v>
      </c>
      <c r="H69" s="66">
        <v>0</v>
      </c>
      <c r="I69" s="66">
        <v>553</v>
      </c>
      <c r="J69" s="66">
        <v>3</v>
      </c>
      <c r="K69" s="66">
        <v>156</v>
      </c>
      <c r="L69" s="66">
        <v>23</v>
      </c>
      <c r="M69" s="66">
        <v>6</v>
      </c>
      <c r="N69" s="66">
        <v>735</v>
      </c>
      <c r="O69" s="66">
        <v>741</v>
      </c>
    </row>
    <row r="70" spans="1:15" ht="15">
      <c r="A70" s="66" t="s">
        <v>230</v>
      </c>
      <c r="B70" s="66" t="s">
        <v>231</v>
      </c>
      <c r="C70" s="66">
        <v>23</v>
      </c>
      <c r="D70" s="66">
        <v>5</v>
      </c>
      <c r="E70" s="66">
        <v>112</v>
      </c>
      <c r="F70" s="66">
        <v>18</v>
      </c>
      <c r="G70" s="66">
        <v>2</v>
      </c>
      <c r="H70" s="66">
        <v>0</v>
      </c>
      <c r="I70" s="66">
        <v>23</v>
      </c>
      <c r="J70" s="66">
        <v>5</v>
      </c>
      <c r="K70" s="66">
        <v>112</v>
      </c>
      <c r="L70" s="66">
        <v>18</v>
      </c>
      <c r="M70" s="66">
        <v>2</v>
      </c>
      <c r="N70" s="66">
        <v>158</v>
      </c>
      <c r="O70" s="66">
        <v>160</v>
      </c>
    </row>
    <row r="71" spans="1:15" ht="15">
      <c r="A71" s="66" t="s">
        <v>232</v>
      </c>
      <c r="B71" s="66" t="s">
        <v>233</v>
      </c>
      <c r="C71" s="66">
        <v>563</v>
      </c>
      <c r="D71" s="66">
        <v>24</v>
      </c>
      <c r="E71" s="66">
        <v>0</v>
      </c>
      <c r="F71" s="66">
        <v>78</v>
      </c>
      <c r="G71" s="66">
        <v>5</v>
      </c>
      <c r="H71" s="66">
        <v>0</v>
      </c>
      <c r="I71" s="66">
        <v>563</v>
      </c>
      <c r="J71" s="66">
        <v>24</v>
      </c>
      <c r="K71" s="66">
        <v>0</v>
      </c>
      <c r="L71" s="66">
        <v>78</v>
      </c>
      <c r="M71" s="66">
        <v>5</v>
      </c>
      <c r="N71" s="66">
        <v>665</v>
      </c>
      <c r="O71" s="66">
        <v>670</v>
      </c>
    </row>
    <row r="72" spans="1:15" ht="15">
      <c r="A72" s="66" t="s">
        <v>234</v>
      </c>
      <c r="B72" s="66" t="s">
        <v>235</v>
      </c>
      <c r="C72" s="66">
        <v>146</v>
      </c>
      <c r="D72" s="66">
        <v>3</v>
      </c>
      <c r="E72" s="66">
        <v>14</v>
      </c>
      <c r="F72" s="66">
        <v>10</v>
      </c>
      <c r="G72" s="66">
        <v>0</v>
      </c>
      <c r="H72" s="66">
        <v>0</v>
      </c>
      <c r="I72" s="66">
        <v>146</v>
      </c>
      <c r="J72" s="66">
        <v>3</v>
      </c>
      <c r="K72" s="66">
        <v>14</v>
      </c>
      <c r="L72" s="66">
        <v>10</v>
      </c>
      <c r="M72" s="66">
        <v>0</v>
      </c>
      <c r="N72" s="66">
        <v>173</v>
      </c>
      <c r="O72" s="66">
        <v>173</v>
      </c>
    </row>
    <row r="73" spans="1:15" ht="15">
      <c r="A73" s="66" t="s">
        <v>246</v>
      </c>
      <c r="B73" s="66" t="s">
        <v>247</v>
      </c>
      <c r="C73" s="66">
        <v>389</v>
      </c>
      <c r="D73" s="66">
        <v>9</v>
      </c>
      <c r="E73" s="66">
        <v>495</v>
      </c>
      <c r="F73" s="66">
        <v>27</v>
      </c>
      <c r="G73" s="66">
        <v>125</v>
      </c>
      <c r="H73" s="66">
        <v>0</v>
      </c>
      <c r="I73" s="66">
        <v>275</v>
      </c>
      <c r="J73" s="66">
        <v>5</v>
      </c>
      <c r="K73" s="66">
        <v>341</v>
      </c>
      <c r="L73" s="66">
        <v>16</v>
      </c>
      <c r="M73" s="66">
        <v>98</v>
      </c>
      <c r="N73" s="66">
        <v>920</v>
      </c>
      <c r="O73" s="66">
        <v>1045</v>
      </c>
    </row>
    <row r="74" spans="1:15" ht="15">
      <c r="A74" s="66" t="s">
        <v>226</v>
      </c>
      <c r="B74" s="66" t="s">
        <v>227</v>
      </c>
      <c r="C74" s="66">
        <v>76</v>
      </c>
      <c r="D74" s="66">
        <v>4</v>
      </c>
      <c r="E74" s="66">
        <v>27</v>
      </c>
      <c r="F74" s="66">
        <v>7</v>
      </c>
      <c r="G74" s="66">
        <v>1</v>
      </c>
      <c r="H74" s="66">
        <v>0</v>
      </c>
      <c r="I74" s="66">
        <v>76</v>
      </c>
      <c r="J74" s="66">
        <v>4</v>
      </c>
      <c r="K74" s="66">
        <v>27</v>
      </c>
      <c r="L74" s="66">
        <v>7</v>
      </c>
      <c r="M74" s="66">
        <v>1</v>
      </c>
      <c r="N74" s="66">
        <v>114</v>
      </c>
      <c r="O74" s="66">
        <v>115</v>
      </c>
    </row>
    <row r="75" spans="1:15" ht="15">
      <c r="A75" s="66" t="s">
        <v>190</v>
      </c>
      <c r="B75" s="66" t="s">
        <v>191</v>
      </c>
      <c r="C75" s="66">
        <v>266</v>
      </c>
      <c r="D75" s="66">
        <v>9</v>
      </c>
      <c r="E75" s="66">
        <v>493</v>
      </c>
      <c r="F75" s="66">
        <v>12</v>
      </c>
      <c r="G75" s="66">
        <v>182</v>
      </c>
      <c r="H75" s="66">
        <v>0</v>
      </c>
      <c r="I75" s="66">
        <v>266</v>
      </c>
      <c r="J75" s="66">
        <v>9</v>
      </c>
      <c r="K75" s="66">
        <v>493</v>
      </c>
      <c r="L75" s="66">
        <v>12</v>
      </c>
      <c r="M75" s="66">
        <v>182</v>
      </c>
      <c r="N75" s="66">
        <v>780</v>
      </c>
      <c r="O75" s="66">
        <v>962</v>
      </c>
    </row>
    <row r="76" spans="1:15" ht="15">
      <c r="A76" s="66" t="s">
        <v>266</v>
      </c>
      <c r="B76" s="66" t="s">
        <v>267</v>
      </c>
      <c r="C76" s="66">
        <v>5</v>
      </c>
      <c r="D76" s="66">
        <v>0</v>
      </c>
      <c r="E76" s="66">
        <v>15</v>
      </c>
      <c r="F76" s="66">
        <v>0</v>
      </c>
      <c r="G76" s="66">
        <v>5</v>
      </c>
      <c r="H76" s="66">
        <v>0</v>
      </c>
      <c r="I76" s="66">
        <v>5</v>
      </c>
      <c r="J76" s="66">
        <v>0</v>
      </c>
      <c r="K76" s="66">
        <v>14</v>
      </c>
      <c r="L76" s="66">
        <v>0</v>
      </c>
      <c r="M76" s="66">
        <v>1</v>
      </c>
      <c r="N76" s="66">
        <v>20</v>
      </c>
      <c r="O76" s="66">
        <v>25</v>
      </c>
    </row>
    <row r="77" spans="1:15" ht="15">
      <c r="A77" s="66" t="s">
        <v>344</v>
      </c>
      <c r="B77" s="66" t="s">
        <v>345</v>
      </c>
      <c r="C77" s="66">
        <v>0</v>
      </c>
      <c r="D77" s="66">
        <v>1</v>
      </c>
      <c r="E77" s="66">
        <v>25</v>
      </c>
      <c r="F77" s="66">
        <v>2</v>
      </c>
      <c r="G77" s="66">
        <v>9</v>
      </c>
      <c r="H77" s="66">
        <v>0</v>
      </c>
      <c r="I77" s="66">
        <v>0</v>
      </c>
      <c r="J77" s="66">
        <v>1</v>
      </c>
      <c r="K77" s="66">
        <v>24</v>
      </c>
      <c r="L77" s="66">
        <v>2</v>
      </c>
      <c r="M77" s="66">
        <v>8</v>
      </c>
      <c r="N77" s="66">
        <v>28</v>
      </c>
      <c r="O77" s="66">
        <v>37</v>
      </c>
    </row>
    <row r="78" spans="1:15" ht="15">
      <c r="A78" s="66" t="s">
        <v>346</v>
      </c>
      <c r="B78" s="66" t="s">
        <v>347</v>
      </c>
      <c r="C78" s="66">
        <v>13</v>
      </c>
      <c r="D78" s="66">
        <v>16</v>
      </c>
      <c r="E78" s="66">
        <v>84</v>
      </c>
      <c r="F78" s="66">
        <v>10</v>
      </c>
      <c r="G78" s="66">
        <v>12</v>
      </c>
      <c r="H78" s="66">
        <v>1</v>
      </c>
      <c r="I78" s="66">
        <v>13</v>
      </c>
      <c r="J78" s="66">
        <v>16</v>
      </c>
      <c r="K78" s="66">
        <v>82</v>
      </c>
      <c r="L78" s="66">
        <v>9</v>
      </c>
      <c r="M78" s="66">
        <v>10</v>
      </c>
      <c r="N78" s="66">
        <v>124</v>
      </c>
      <c r="O78" s="66">
        <v>136</v>
      </c>
    </row>
    <row r="79" spans="1:15" ht="15">
      <c r="A79" s="66" t="s">
        <v>328</v>
      </c>
      <c r="B79" s="66" t="s">
        <v>329</v>
      </c>
      <c r="C79" s="66">
        <v>3</v>
      </c>
      <c r="D79" s="66">
        <v>0</v>
      </c>
      <c r="E79" s="66">
        <v>24</v>
      </c>
      <c r="F79" s="66">
        <v>2</v>
      </c>
      <c r="G79" s="66">
        <v>42</v>
      </c>
      <c r="H79" s="66">
        <v>0</v>
      </c>
      <c r="I79" s="66">
        <v>3</v>
      </c>
      <c r="J79" s="66">
        <v>0</v>
      </c>
      <c r="K79" s="66">
        <v>24</v>
      </c>
      <c r="L79" s="66">
        <v>2</v>
      </c>
      <c r="M79" s="66">
        <v>42</v>
      </c>
      <c r="N79" s="66">
        <v>29</v>
      </c>
      <c r="O79" s="66">
        <v>71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pane xSplit="1" ySplit="1" topLeftCell="Q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16" sqref="AJ16"/>
    </sheetView>
  </sheetViews>
  <sheetFormatPr defaultColWidth="5.7109375" defaultRowHeight="15"/>
  <cols>
    <col min="1" max="1" width="21.140625" style="31" bestFit="1" customWidth="1"/>
    <col min="2" max="2" width="6.28125" style="29" bestFit="1" customWidth="1"/>
    <col min="3" max="3" width="6.28125" style="26" bestFit="1" customWidth="1"/>
    <col min="4" max="11" width="7.00390625" style="26" bestFit="1" customWidth="1"/>
    <col min="12" max="12" width="6.57421875" style="26" bestFit="1" customWidth="1"/>
    <col min="13" max="13" width="7.00390625" style="26" bestFit="1" customWidth="1"/>
    <col min="14" max="15" width="6.57421875" style="26" bestFit="1" customWidth="1"/>
    <col min="16" max="16" width="6.28125" style="26" bestFit="1" customWidth="1"/>
    <col min="17" max="17" width="5.8515625" style="26" bestFit="1" customWidth="1"/>
    <col min="18" max="18" width="6.28125" style="26" bestFit="1" customWidth="1"/>
    <col min="19" max="19" width="7.00390625" style="26" bestFit="1" customWidth="1"/>
    <col min="20" max="22" width="6.28125" style="26" bestFit="1" customWidth="1"/>
    <col min="23" max="23" width="6.57421875" style="26" bestFit="1" customWidth="1"/>
    <col min="24" max="26" width="6.28125" style="26" bestFit="1" customWidth="1"/>
    <col min="27" max="16384" width="5.7109375" style="26" customWidth="1"/>
  </cols>
  <sheetData>
    <row r="1" spans="1:37" s="35" customFormat="1" ht="15">
      <c r="A1" s="36" t="s">
        <v>462</v>
      </c>
      <c r="B1" s="36" t="s">
        <v>425</v>
      </c>
      <c r="C1" s="37" t="s">
        <v>432</v>
      </c>
      <c r="D1" s="35" t="s">
        <v>463</v>
      </c>
      <c r="E1" s="35" t="s">
        <v>464</v>
      </c>
      <c r="F1" s="35" t="s">
        <v>465</v>
      </c>
      <c r="G1" s="35" t="s">
        <v>466</v>
      </c>
      <c r="H1" s="35" t="s">
        <v>467</v>
      </c>
      <c r="I1" s="35" t="s">
        <v>468</v>
      </c>
      <c r="J1" s="35" t="s">
        <v>469</v>
      </c>
      <c r="K1" s="35" t="s">
        <v>470</v>
      </c>
      <c r="L1" s="35" t="s">
        <v>471</v>
      </c>
      <c r="M1" s="35" t="s">
        <v>472</v>
      </c>
      <c r="N1" s="35" t="s">
        <v>473</v>
      </c>
      <c r="O1" s="35" t="s">
        <v>474</v>
      </c>
      <c r="P1" s="35" t="s">
        <v>475</v>
      </c>
      <c r="Q1" s="35" t="s">
        <v>476</v>
      </c>
      <c r="R1" s="35" t="s">
        <v>477</v>
      </c>
      <c r="S1" s="35" t="s">
        <v>478</v>
      </c>
      <c r="T1" s="35" t="s">
        <v>479</v>
      </c>
      <c r="U1" s="35" t="s">
        <v>480</v>
      </c>
      <c r="V1" s="35" t="s">
        <v>481</v>
      </c>
      <c r="W1" s="35" t="s">
        <v>482</v>
      </c>
      <c r="X1" s="35" t="s">
        <v>381</v>
      </c>
      <c r="Y1" s="35" t="s">
        <v>368</v>
      </c>
      <c r="Z1" s="35" t="s">
        <v>483</v>
      </c>
      <c r="AA1" s="35" t="s">
        <v>484</v>
      </c>
      <c r="AB1" s="35" t="s">
        <v>485</v>
      </c>
      <c r="AC1" s="35" t="s">
        <v>486</v>
      </c>
      <c r="AD1" s="35" t="s">
        <v>487</v>
      </c>
      <c r="AE1" s="35" t="s">
        <v>443</v>
      </c>
      <c r="AF1" s="35" t="s">
        <v>488</v>
      </c>
      <c r="AG1" s="35" t="s">
        <v>489</v>
      </c>
      <c r="AH1" s="35" t="s">
        <v>490</v>
      </c>
      <c r="AI1" s="35" t="s">
        <v>491</v>
      </c>
      <c r="AJ1" s="35" t="s">
        <v>492</v>
      </c>
      <c r="AK1" s="35" t="s">
        <v>493</v>
      </c>
    </row>
    <row r="2" spans="1:3" s="32" customFormat="1" ht="23.25" customHeight="1">
      <c r="A2" s="89" t="s">
        <v>494</v>
      </c>
      <c r="B2" s="27"/>
      <c r="C2" s="24"/>
    </row>
    <row r="3" spans="1:3" s="32" customFormat="1" ht="15">
      <c r="A3" s="95" t="s">
        <v>495</v>
      </c>
      <c r="B3" s="28"/>
      <c r="C3" s="24"/>
    </row>
    <row r="4" spans="1:37" s="32" customFormat="1" ht="15">
      <c r="A4" s="96" t="s">
        <v>496</v>
      </c>
      <c r="B4" s="26">
        <v>2</v>
      </c>
      <c r="C4" s="24">
        <v>6</v>
      </c>
      <c r="D4" s="32">
        <v>7</v>
      </c>
      <c r="E4" s="32">
        <v>9</v>
      </c>
      <c r="F4" s="32">
        <v>8</v>
      </c>
      <c r="G4" s="32">
        <v>9</v>
      </c>
      <c r="H4" s="32">
        <v>10</v>
      </c>
      <c r="I4" s="32">
        <v>15</v>
      </c>
      <c r="J4" s="32">
        <v>8</v>
      </c>
      <c r="K4" s="32">
        <v>9</v>
      </c>
      <c r="L4" s="32">
        <v>13</v>
      </c>
      <c r="M4" s="32">
        <v>18</v>
      </c>
      <c r="N4" s="32">
        <v>14</v>
      </c>
      <c r="O4" s="32">
        <v>8</v>
      </c>
      <c r="P4" s="32">
        <v>12</v>
      </c>
      <c r="Q4" s="32">
        <v>4</v>
      </c>
      <c r="R4" s="32">
        <v>11</v>
      </c>
      <c r="S4" s="32">
        <v>12</v>
      </c>
      <c r="T4" s="32">
        <v>9</v>
      </c>
      <c r="U4" s="32">
        <v>5</v>
      </c>
      <c r="V4" s="32">
        <v>14</v>
      </c>
      <c r="W4" s="32">
        <v>14</v>
      </c>
      <c r="X4" s="32">
        <v>5</v>
      </c>
      <c r="Y4" s="32">
        <v>8</v>
      </c>
      <c r="Z4" s="32">
        <v>3</v>
      </c>
      <c r="AA4" s="32">
        <v>7</v>
      </c>
      <c r="AB4" s="32">
        <v>4</v>
      </c>
      <c r="AC4" s="32">
        <v>4</v>
      </c>
      <c r="AD4" s="32">
        <v>6</v>
      </c>
      <c r="AE4" s="32">
        <v>6</v>
      </c>
      <c r="AF4" s="32">
        <v>7</v>
      </c>
      <c r="AG4" s="32">
        <v>10</v>
      </c>
      <c r="AH4" s="32">
        <v>4</v>
      </c>
      <c r="AI4" s="32">
        <v>15</v>
      </c>
      <c r="AJ4" s="32">
        <v>7</v>
      </c>
      <c r="AK4" s="32">
        <v>13</v>
      </c>
    </row>
    <row r="5" spans="1:37" s="32" customFormat="1" ht="15">
      <c r="A5" s="96" t="s">
        <v>497</v>
      </c>
      <c r="B5" s="26">
        <v>21</v>
      </c>
      <c r="C5" s="24">
        <v>33</v>
      </c>
      <c r="D5" s="32">
        <v>57</v>
      </c>
      <c r="E5" s="32">
        <v>48</v>
      </c>
      <c r="F5" s="32">
        <v>43</v>
      </c>
      <c r="G5" s="32">
        <v>45</v>
      </c>
      <c r="H5" s="32">
        <v>56</v>
      </c>
      <c r="I5" s="32">
        <v>33</v>
      </c>
      <c r="J5" s="32">
        <v>34</v>
      </c>
      <c r="K5" s="32">
        <v>38</v>
      </c>
      <c r="L5" s="32">
        <v>28</v>
      </c>
      <c r="M5" s="32">
        <v>34</v>
      </c>
      <c r="N5" s="32">
        <v>30</v>
      </c>
      <c r="O5" s="32">
        <v>40</v>
      </c>
      <c r="P5" s="32">
        <v>39</v>
      </c>
      <c r="Q5" s="32">
        <v>31</v>
      </c>
      <c r="R5" s="32">
        <v>25</v>
      </c>
      <c r="S5" s="32">
        <v>33</v>
      </c>
      <c r="T5" s="32">
        <v>28</v>
      </c>
      <c r="U5" s="32">
        <v>20</v>
      </c>
      <c r="V5" s="32">
        <v>21</v>
      </c>
      <c r="W5" s="32">
        <v>25</v>
      </c>
      <c r="X5" s="32">
        <v>30</v>
      </c>
      <c r="Y5" s="32">
        <v>31</v>
      </c>
      <c r="Z5" s="32">
        <v>22</v>
      </c>
      <c r="AA5" s="32">
        <v>21</v>
      </c>
      <c r="AB5" s="32">
        <v>20</v>
      </c>
      <c r="AC5" s="32">
        <v>23</v>
      </c>
      <c r="AD5" s="32">
        <v>26</v>
      </c>
      <c r="AE5" s="32">
        <v>25</v>
      </c>
      <c r="AF5" s="32">
        <v>34</v>
      </c>
      <c r="AG5" s="32">
        <v>37</v>
      </c>
      <c r="AH5" s="32">
        <v>27</v>
      </c>
      <c r="AI5" s="32">
        <v>39</v>
      </c>
      <c r="AJ5" s="32">
        <v>25</v>
      </c>
      <c r="AK5" s="32">
        <v>41</v>
      </c>
    </row>
    <row r="6" spans="1:37" s="32" customFormat="1" ht="15">
      <c r="A6" s="96" t="s">
        <v>498</v>
      </c>
      <c r="B6" s="26">
        <v>6</v>
      </c>
      <c r="C6" s="24">
        <v>9</v>
      </c>
      <c r="D6" s="32">
        <v>24</v>
      </c>
      <c r="E6" s="32">
        <v>44</v>
      </c>
      <c r="F6" s="32">
        <v>42</v>
      </c>
      <c r="G6" s="32">
        <v>48</v>
      </c>
      <c r="H6" s="32">
        <v>50</v>
      </c>
      <c r="I6" s="32">
        <v>51</v>
      </c>
      <c r="J6" s="32">
        <v>57</v>
      </c>
      <c r="K6" s="32">
        <v>28</v>
      </c>
      <c r="L6" s="32">
        <v>35</v>
      </c>
      <c r="M6" s="32">
        <v>35</v>
      </c>
      <c r="N6" s="32">
        <v>28</v>
      </c>
      <c r="O6" s="32">
        <v>22</v>
      </c>
      <c r="P6" s="32">
        <v>16</v>
      </c>
      <c r="Q6" s="32">
        <v>15</v>
      </c>
      <c r="R6" s="32">
        <v>19</v>
      </c>
      <c r="S6" s="32">
        <v>13</v>
      </c>
      <c r="T6" s="32">
        <v>18</v>
      </c>
      <c r="U6" s="32">
        <v>12</v>
      </c>
      <c r="V6" s="32">
        <v>20</v>
      </c>
      <c r="W6" s="32">
        <v>15</v>
      </c>
      <c r="X6" s="32">
        <v>13</v>
      </c>
      <c r="Y6" s="32">
        <v>13</v>
      </c>
      <c r="Z6" s="32">
        <v>11</v>
      </c>
      <c r="AA6" s="32">
        <v>14</v>
      </c>
      <c r="AB6" s="32">
        <v>13</v>
      </c>
      <c r="AC6" s="32">
        <v>6</v>
      </c>
      <c r="AD6" s="32">
        <v>11</v>
      </c>
      <c r="AE6" s="32">
        <v>25</v>
      </c>
      <c r="AF6" s="32">
        <v>19</v>
      </c>
      <c r="AG6" s="32">
        <v>15</v>
      </c>
      <c r="AH6" s="32">
        <v>6</v>
      </c>
      <c r="AI6" s="32">
        <v>15</v>
      </c>
      <c r="AJ6" s="32">
        <v>6</v>
      </c>
      <c r="AK6" s="32">
        <v>17</v>
      </c>
    </row>
    <row r="7" spans="1:37" s="32" customFormat="1" ht="15">
      <c r="A7" s="96" t="s">
        <v>499</v>
      </c>
      <c r="B7" s="26">
        <v>14</v>
      </c>
      <c r="C7" s="24">
        <v>37</v>
      </c>
      <c r="D7" s="32">
        <v>47</v>
      </c>
      <c r="E7" s="32">
        <v>62</v>
      </c>
      <c r="F7" s="32">
        <v>43</v>
      </c>
      <c r="G7" s="32">
        <v>45</v>
      </c>
      <c r="H7" s="32">
        <v>44</v>
      </c>
      <c r="I7" s="32">
        <v>60</v>
      </c>
      <c r="J7" s="32">
        <v>44</v>
      </c>
      <c r="K7" s="32">
        <v>49</v>
      </c>
      <c r="L7" s="32">
        <v>39</v>
      </c>
      <c r="M7" s="32">
        <v>51</v>
      </c>
      <c r="N7" s="32">
        <v>40</v>
      </c>
      <c r="O7" s="32">
        <v>41</v>
      </c>
      <c r="P7" s="32">
        <v>31</v>
      </c>
      <c r="Q7" s="32">
        <v>37</v>
      </c>
      <c r="R7" s="32">
        <v>36</v>
      </c>
      <c r="S7" s="32">
        <v>41</v>
      </c>
      <c r="T7" s="32">
        <v>37</v>
      </c>
      <c r="U7" s="32">
        <v>37</v>
      </c>
      <c r="V7" s="32">
        <v>39</v>
      </c>
      <c r="W7" s="32">
        <v>47</v>
      </c>
      <c r="X7" s="32">
        <v>30</v>
      </c>
      <c r="Y7" s="32">
        <v>29</v>
      </c>
      <c r="Z7" s="32">
        <v>25</v>
      </c>
      <c r="AA7" s="32">
        <v>20</v>
      </c>
      <c r="AB7" s="32">
        <v>26</v>
      </c>
      <c r="AC7" s="32">
        <v>23</v>
      </c>
      <c r="AD7" s="32">
        <v>26</v>
      </c>
      <c r="AE7" s="32">
        <v>25</v>
      </c>
      <c r="AF7" s="32">
        <v>34</v>
      </c>
      <c r="AG7" s="32">
        <v>39</v>
      </c>
      <c r="AH7" s="32">
        <v>38</v>
      </c>
      <c r="AI7" s="32">
        <v>37</v>
      </c>
      <c r="AJ7" s="32">
        <v>33</v>
      </c>
      <c r="AK7" s="32">
        <v>33</v>
      </c>
    </row>
    <row r="8" spans="1:37" s="33" customFormat="1" ht="15">
      <c r="A8" s="96" t="s">
        <v>500</v>
      </c>
      <c r="B8" s="93">
        <v>0</v>
      </c>
      <c r="C8" s="24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1</v>
      </c>
      <c r="J8" s="33">
        <v>5</v>
      </c>
      <c r="K8" s="33">
        <v>2</v>
      </c>
      <c r="L8" s="33">
        <v>3</v>
      </c>
      <c r="M8" s="33">
        <v>6</v>
      </c>
      <c r="N8" s="33">
        <v>5</v>
      </c>
      <c r="O8" s="33">
        <v>6</v>
      </c>
      <c r="P8" s="33">
        <v>1</v>
      </c>
      <c r="Q8" s="33">
        <v>1</v>
      </c>
      <c r="R8" s="33">
        <v>4</v>
      </c>
      <c r="S8" s="33">
        <v>3</v>
      </c>
      <c r="T8" s="33">
        <v>3</v>
      </c>
      <c r="U8" s="33">
        <v>2</v>
      </c>
      <c r="V8" s="33">
        <v>3</v>
      </c>
      <c r="W8" s="33">
        <v>0</v>
      </c>
      <c r="X8" s="33">
        <v>1</v>
      </c>
      <c r="Y8" s="33">
        <v>1</v>
      </c>
      <c r="Z8" s="33">
        <v>4</v>
      </c>
      <c r="AA8" s="33">
        <v>7</v>
      </c>
      <c r="AB8" s="33">
        <v>9</v>
      </c>
      <c r="AC8" s="33">
        <v>16</v>
      </c>
      <c r="AD8" s="33">
        <v>17</v>
      </c>
      <c r="AE8" s="33">
        <v>12</v>
      </c>
      <c r="AF8" s="33">
        <v>8</v>
      </c>
      <c r="AG8" s="33">
        <v>3</v>
      </c>
      <c r="AH8" s="33">
        <v>4</v>
      </c>
      <c r="AI8" s="33">
        <v>0</v>
      </c>
      <c r="AJ8" s="33">
        <v>2</v>
      </c>
      <c r="AK8" s="33">
        <v>1</v>
      </c>
    </row>
    <row r="9" spans="1:37" s="34" customFormat="1" ht="15">
      <c r="A9" s="30"/>
      <c r="B9" s="29">
        <v>43</v>
      </c>
      <c r="C9" s="27">
        <v>85</v>
      </c>
      <c r="D9" s="34">
        <v>135</v>
      </c>
      <c r="E9" s="34">
        <v>163</v>
      </c>
      <c r="F9" s="34">
        <v>136</v>
      </c>
      <c r="G9" s="34">
        <v>147</v>
      </c>
      <c r="H9" s="34">
        <v>160</v>
      </c>
      <c r="I9" s="34">
        <v>160</v>
      </c>
      <c r="J9" s="34">
        <v>148</v>
      </c>
      <c r="K9" s="34">
        <v>126</v>
      </c>
      <c r="L9" s="34">
        <v>118</v>
      </c>
      <c r="M9" s="34">
        <v>144</v>
      </c>
      <c r="N9" s="34">
        <v>117</v>
      </c>
      <c r="O9" s="34">
        <v>117</v>
      </c>
      <c r="P9" s="34">
        <v>99</v>
      </c>
      <c r="Q9" s="34">
        <v>88</v>
      </c>
      <c r="R9" s="34">
        <v>95</v>
      </c>
      <c r="S9" s="34">
        <v>102</v>
      </c>
      <c r="T9" s="34">
        <v>95</v>
      </c>
      <c r="U9" s="34">
        <v>76</v>
      </c>
      <c r="V9" s="34">
        <v>97</v>
      </c>
      <c r="W9" s="34">
        <v>101</v>
      </c>
      <c r="X9" s="34">
        <v>79</v>
      </c>
      <c r="Y9" s="34">
        <v>82</v>
      </c>
      <c r="Z9" s="34">
        <v>65</v>
      </c>
      <c r="AA9" s="34">
        <v>69</v>
      </c>
      <c r="AB9" s="34">
        <v>72</v>
      </c>
      <c r="AC9" s="34">
        <v>72</v>
      </c>
      <c r="AD9" s="34">
        <v>86</v>
      </c>
      <c r="AE9" s="34">
        <v>93</v>
      </c>
      <c r="AF9" s="34">
        <v>102</v>
      </c>
      <c r="AG9" s="34">
        <v>104</v>
      </c>
      <c r="AH9" s="34">
        <v>79</v>
      </c>
      <c r="AI9" s="34">
        <v>106</v>
      </c>
      <c r="AJ9" s="34">
        <v>73</v>
      </c>
      <c r="AK9" s="34">
        <v>105</v>
      </c>
    </row>
    <row r="10" spans="1:3" s="32" customFormat="1" ht="15">
      <c r="A10" s="95" t="s">
        <v>501</v>
      </c>
      <c r="B10" s="28"/>
      <c r="C10" s="24"/>
    </row>
    <row r="11" spans="1:37" s="32" customFormat="1" ht="15">
      <c r="A11" s="96" t="s">
        <v>502</v>
      </c>
      <c r="B11" s="26">
        <v>2</v>
      </c>
      <c r="C11" s="24">
        <v>4</v>
      </c>
      <c r="D11" s="32">
        <v>5</v>
      </c>
      <c r="E11" s="32">
        <v>7</v>
      </c>
      <c r="F11" s="32">
        <v>3</v>
      </c>
      <c r="G11" s="32">
        <v>6</v>
      </c>
      <c r="H11" s="32">
        <v>4</v>
      </c>
      <c r="I11" s="32">
        <v>10</v>
      </c>
      <c r="J11" s="32">
        <v>5</v>
      </c>
      <c r="K11" s="32">
        <v>7</v>
      </c>
      <c r="L11" s="32">
        <v>6</v>
      </c>
      <c r="M11" s="32">
        <v>6</v>
      </c>
      <c r="N11" s="32">
        <v>8</v>
      </c>
      <c r="O11" s="32">
        <v>5</v>
      </c>
      <c r="P11" s="32">
        <v>4</v>
      </c>
      <c r="Q11" s="32">
        <v>8</v>
      </c>
      <c r="R11" s="32">
        <v>3</v>
      </c>
      <c r="S11" s="32">
        <v>6</v>
      </c>
      <c r="T11" s="32">
        <v>4</v>
      </c>
      <c r="U11" s="32">
        <v>5</v>
      </c>
      <c r="V11" s="32">
        <v>14</v>
      </c>
      <c r="W11" s="32">
        <v>5</v>
      </c>
      <c r="X11" s="32">
        <v>8</v>
      </c>
      <c r="Y11" s="32">
        <v>4</v>
      </c>
      <c r="Z11" s="32">
        <v>6</v>
      </c>
      <c r="AA11" s="32">
        <v>12</v>
      </c>
      <c r="AB11" s="32">
        <v>4</v>
      </c>
      <c r="AC11" s="32">
        <v>6</v>
      </c>
      <c r="AD11" s="32">
        <v>9</v>
      </c>
      <c r="AE11" s="32">
        <v>7</v>
      </c>
      <c r="AF11" s="32">
        <v>9</v>
      </c>
      <c r="AG11" s="32">
        <v>5</v>
      </c>
      <c r="AH11" s="32">
        <v>5</v>
      </c>
      <c r="AI11" s="32">
        <v>7</v>
      </c>
      <c r="AJ11" s="32">
        <v>4</v>
      </c>
      <c r="AK11" s="32">
        <v>9</v>
      </c>
    </row>
    <row r="12" spans="1:37" s="32" customFormat="1" ht="15">
      <c r="A12" s="96" t="s">
        <v>497</v>
      </c>
      <c r="B12" s="26">
        <v>1</v>
      </c>
      <c r="C12" s="24">
        <v>6</v>
      </c>
      <c r="D12" s="32">
        <v>3</v>
      </c>
      <c r="E12" s="32">
        <v>5</v>
      </c>
      <c r="F12" s="32">
        <v>4</v>
      </c>
      <c r="G12" s="32">
        <v>2</v>
      </c>
      <c r="H12" s="32">
        <v>5</v>
      </c>
      <c r="I12" s="32">
        <v>9</v>
      </c>
      <c r="J12" s="32">
        <v>3</v>
      </c>
      <c r="K12" s="32">
        <v>5</v>
      </c>
      <c r="L12" s="32">
        <v>4</v>
      </c>
      <c r="M12" s="32">
        <v>3</v>
      </c>
      <c r="N12" s="32">
        <v>1</v>
      </c>
      <c r="O12" s="32">
        <v>2</v>
      </c>
      <c r="P12" s="32">
        <v>3</v>
      </c>
      <c r="Q12" s="32">
        <v>2</v>
      </c>
      <c r="R12" s="32">
        <v>4</v>
      </c>
      <c r="S12" s="32">
        <v>6</v>
      </c>
      <c r="T12" s="32">
        <v>3</v>
      </c>
      <c r="U12" s="32">
        <v>4</v>
      </c>
      <c r="V12" s="32">
        <v>3</v>
      </c>
      <c r="W12" s="32">
        <v>5</v>
      </c>
      <c r="X12" s="32">
        <v>3</v>
      </c>
      <c r="Y12" s="32">
        <v>4</v>
      </c>
      <c r="Z12" s="32">
        <v>1</v>
      </c>
      <c r="AA12" s="32">
        <v>3</v>
      </c>
      <c r="AB12" s="32">
        <v>1</v>
      </c>
      <c r="AC12" s="32">
        <v>0</v>
      </c>
      <c r="AD12" s="32">
        <v>2</v>
      </c>
      <c r="AE12" s="32">
        <v>2</v>
      </c>
      <c r="AF12" s="32">
        <v>2</v>
      </c>
      <c r="AG12" s="32">
        <v>4</v>
      </c>
      <c r="AH12" s="32">
        <v>4</v>
      </c>
      <c r="AI12" s="32">
        <v>3</v>
      </c>
      <c r="AJ12" s="32">
        <v>3</v>
      </c>
      <c r="AK12" s="32">
        <v>3</v>
      </c>
    </row>
    <row r="13" spans="1:37" s="32" customFormat="1" ht="15">
      <c r="A13" s="96" t="s">
        <v>498</v>
      </c>
      <c r="B13" s="26">
        <v>1</v>
      </c>
      <c r="C13" s="25">
        <v>3</v>
      </c>
      <c r="D13" s="32">
        <v>9</v>
      </c>
      <c r="E13" s="32">
        <v>7</v>
      </c>
      <c r="F13" s="32">
        <v>11</v>
      </c>
      <c r="G13" s="32">
        <v>10</v>
      </c>
      <c r="H13" s="32">
        <v>12</v>
      </c>
      <c r="I13" s="32">
        <v>10</v>
      </c>
      <c r="J13" s="32">
        <v>14</v>
      </c>
      <c r="K13" s="32">
        <v>7</v>
      </c>
      <c r="L13" s="32">
        <v>8</v>
      </c>
      <c r="M13" s="32">
        <v>10</v>
      </c>
      <c r="N13" s="32">
        <v>16</v>
      </c>
      <c r="O13" s="32">
        <v>19</v>
      </c>
      <c r="P13" s="32">
        <v>7</v>
      </c>
      <c r="Q13" s="32">
        <v>14</v>
      </c>
      <c r="R13" s="32">
        <v>12</v>
      </c>
      <c r="S13" s="32">
        <v>14</v>
      </c>
      <c r="T13" s="32">
        <v>10</v>
      </c>
      <c r="U13" s="32">
        <v>12</v>
      </c>
      <c r="V13" s="32">
        <v>14</v>
      </c>
      <c r="W13" s="32">
        <v>8</v>
      </c>
      <c r="X13" s="32">
        <v>9</v>
      </c>
      <c r="Y13" s="32">
        <v>4</v>
      </c>
      <c r="Z13" s="32">
        <v>3</v>
      </c>
      <c r="AA13" s="32">
        <v>6</v>
      </c>
      <c r="AB13" s="32">
        <v>6</v>
      </c>
      <c r="AC13" s="32">
        <v>5</v>
      </c>
      <c r="AD13" s="32">
        <v>9</v>
      </c>
      <c r="AE13" s="32">
        <v>8</v>
      </c>
      <c r="AF13" s="32">
        <v>7</v>
      </c>
      <c r="AG13" s="32">
        <v>8</v>
      </c>
      <c r="AH13" s="32">
        <v>5</v>
      </c>
      <c r="AI13" s="32">
        <v>9</v>
      </c>
      <c r="AJ13" s="32">
        <v>10</v>
      </c>
      <c r="AK13" s="32">
        <v>13</v>
      </c>
    </row>
    <row r="14" spans="1:37" s="32" customFormat="1" ht="15">
      <c r="A14" s="96" t="s">
        <v>499</v>
      </c>
      <c r="B14" s="24">
        <v>0</v>
      </c>
      <c r="C14" s="24">
        <v>2</v>
      </c>
      <c r="D14" s="32">
        <v>12</v>
      </c>
      <c r="E14" s="32">
        <v>16</v>
      </c>
      <c r="F14" s="32">
        <v>6</v>
      </c>
      <c r="G14" s="32">
        <v>4</v>
      </c>
      <c r="H14" s="32">
        <v>11</v>
      </c>
      <c r="I14" s="32">
        <v>9</v>
      </c>
      <c r="J14" s="32">
        <v>4</v>
      </c>
      <c r="K14" s="32">
        <v>11</v>
      </c>
      <c r="L14" s="32">
        <v>16</v>
      </c>
      <c r="M14" s="32">
        <v>11</v>
      </c>
      <c r="N14" s="32">
        <v>10</v>
      </c>
      <c r="O14" s="32">
        <v>12</v>
      </c>
      <c r="P14" s="32">
        <v>6</v>
      </c>
      <c r="Q14" s="32">
        <v>12</v>
      </c>
      <c r="R14" s="32">
        <v>13</v>
      </c>
      <c r="S14" s="32">
        <v>13</v>
      </c>
      <c r="T14" s="32">
        <v>9</v>
      </c>
      <c r="U14" s="32">
        <v>12</v>
      </c>
      <c r="V14" s="32">
        <v>7</v>
      </c>
      <c r="W14" s="32">
        <v>23</v>
      </c>
      <c r="X14" s="32">
        <v>17</v>
      </c>
      <c r="Y14" s="32">
        <v>14</v>
      </c>
      <c r="Z14" s="32">
        <v>13</v>
      </c>
      <c r="AA14" s="32">
        <v>7</v>
      </c>
      <c r="AB14" s="32">
        <v>4</v>
      </c>
      <c r="AC14" s="32">
        <v>8</v>
      </c>
      <c r="AD14" s="32">
        <v>17</v>
      </c>
      <c r="AE14" s="32">
        <v>14</v>
      </c>
      <c r="AF14" s="32">
        <v>13</v>
      </c>
      <c r="AG14" s="32">
        <v>8</v>
      </c>
      <c r="AH14" s="32">
        <v>7</v>
      </c>
      <c r="AI14" s="32">
        <v>19</v>
      </c>
      <c r="AJ14" s="32">
        <v>14</v>
      </c>
      <c r="AK14" s="32">
        <v>6</v>
      </c>
    </row>
    <row r="15" spans="1:37" s="33" customFormat="1" ht="15">
      <c r="A15" s="96" t="s">
        <v>500</v>
      </c>
      <c r="B15" s="94">
        <v>0</v>
      </c>
      <c r="C15" s="24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2</v>
      </c>
      <c r="O15" s="33">
        <v>2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3">
        <v>4</v>
      </c>
      <c r="V15" s="33">
        <v>1</v>
      </c>
      <c r="W15" s="33">
        <v>0</v>
      </c>
      <c r="X15" s="33">
        <v>1</v>
      </c>
      <c r="Y15" s="33">
        <v>2</v>
      </c>
      <c r="Z15" s="33">
        <v>2</v>
      </c>
      <c r="AA15" s="33">
        <v>2</v>
      </c>
      <c r="AB15" s="33">
        <v>2</v>
      </c>
      <c r="AC15" s="33">
        <v>4</v>
      </c>
      <c r="AD15" s="33">
        <v>5</v>
      </c>
      <c r="AE15" s="33">
        <v>7</v>
      </c>
      <c r="AF15" s="33">
        <v>1</v>
      </c>
      <c r="AG15" s="33">
        <v>0</v>
      </c>
      <c r="AH15" s="33">
        <v>0</v>
      </c>
      <c r="AI15" s="33">
        <v>0</v>
      </c>
      <c r="AJ15" s="33">
        <v>0</v>
      </c>
      <c r="AK15" s="33">
        <v>1</v>
      </c>
    </row>
    <row r="16" spans="1:37" s="34" customFormat="1" ht="15">
      <c r="A16" s="30"/>
      <c r="B16" s="29">
        <v>4</v>
      </c>
      <c r="C16" s="27">
        <v>15</v>
      </c>
      <c r="D16" s="34">
        <v>29</v>
      </c>
      <c r="E16" s="34">
        <v>35</v>
      </c>
      <c r="F16" s="34">
        <v>24</v>
      </c>
      <c r="G16" s="34">
        <v>22</v>
      </c>
      <c r="H16" s="34">
        <v>32</v>
      </c>
      <c r="I16" s="34">
        <v>38</v>
      </c>
      <c r="J16" s="34">
        <v>26</v>
      </c>
      <c r="K16" s="34">
        <v>30</v>
      </c>
      <c r="L16" s="34">
        <v>34</v>
      </c>
      <c r="M16" s="34">
        <v>30</v>
      </c>
      <c r="N16" s="34">
        <v>37</v>
      </c>
      <c r="O16" s="34">
        <v>40</v>
      </c>
      <c r="P16" s="34">
        <v>20</v>
      </c>
      <c r="Q16" s="34">
        <v>36</v>
      </c>
      <c r="R16" s="34">
        <v>32</v>
      </c>
      <c r="S16" s="34">
        <v>40</v>
      </c>
      <c r="T16" s="34">
        <v>26</v>
      </c>
      <c r="U16" s="34">
        <v>37</v>
      </c>
      <c r="V16" s="34">
        <v>39</v>
      </c>
      <c r="W16" s="34">
        <v>41</v>
      </c>
      <c r="X16" s="34">
        <v>38</v>
      </c>
      <c r="Y16" s="34">
        <v>28</v>
      </c>
      <c r="Z16" s="34">
        <v>25</v>
      </c>
      <c r="AA16" s="34">
        <v>30</v>
      </c>
      <c r="AB16" s="34">
        <v>17</v>
      </c>
      <c r="AC16" s="34">
        <v>23</v>
      </c>
      <c r="AD16" s="34">
        <v>42</v>
      </c>
      <c r="AE16" s="34">
        <v>38</v>
      </c>
      <c r="AF16" s="34">
        <v>32</v>
      </c>
      <c r="AG16" s="34">
        <v>25</v>
      </c>
      <c r="AH16" s="34">
        <v>21</v>
      </c>
      <c r="AI16" s="34">
        <v>38</v>
      </c>
      <c r="AJ16" s="34">
        <v>31</v>
      </c>
      <c r="AK16" s="34">
        <v>32</v>
      </c>
    </row>
    <row r="17" spans="1:3" s="32" customFormat="1" ht="15">
      <c r="A17" s="95" t="s">
        <v>503</v>
      </c>
      <c r="B17" s="28"/>
      <c r="C17" s="24"/>
    </row>
    <row r="18" spans="1:37" s="32" customFormat="1" ht="15">
      <c r="A18" s="96" t="s">
        <v>502</v>
      </c>
      <c r="B18" s="26">
        <v>23</v>
      </c>
      <c r="C18" s="24">
        <v>26</v>
      </c>
      <c r="D18" s="32">
        <v>27</v>
      </c>
      <c r="E18" s="32">
        <v>26</v>
      </c>
      <c r="F18" s="32">
        <v>29</v>
      </c>
      <c r="G18" s="32">
        <v>13</v>
      </c>
      <c r="H18" s="32">
        <v>35</v>
      </c>
      <c r="I18" s="32">
        <v>27</v>
      </c>
      <c r="J18" s="32">
        <v>24</v>
      </c>
      <c r="K18" s="32">
        <v>30</v>
      </c>
      <c r="L18" s="32">
        <v>34</v>
      </c>
      <c r="M18" s="32">
        <v>46</v>
      </c>
      <c r="N18" s="32">
        <v>48</v>
      </c>
      <c r="O18" s="32">
        <v>30</v>
      </c>
      <c r="P18" s="32">
        <v>40</v>
      </c>
      <c r="Q18" s="32">
        <v>42</v>
      </c>
      <c r="R18" s="32">
        <v>29</v>
      </c>
      <c r="S18" s="32">
        <v>32</v>
      </c>
      <c r="T18" s="32">
        <v>31</v>
      </c>
      <c r="U18" s="32">
        <v>23</v>
      </c>
      <c r="V18" s="32">
        <v>30</v>
      </c>
      <c r="W18" s="32">
        <v>23</v>
      </c>
      <c r="X18" s="32">
        <v>33</v>
      </c>
      <c r="Y18" s="32">
        <v>26</v>
      </c>
      <c r="Z18" s="32">
        <v>27</v>
      </c>
      <c r="AA18" s="32">
        <v>33</v>
      </c>
      <c r="AB18" s="32">
        <v>23</v>
      </c>
      <c r="AC18" s="32">
        <v>23</v>
      </c>
      <c r="AD18" s="32">
        <v>20</v>
      </c>
      <c r="AE18" s="32">
        <v>32</v>
      </c>
      <c r="AF18" s="32">
        <v>27</v>
      </c>
      <c r="AG18" s="32">
        <v>31</v>
      </c>
      <c r="AH18" s="32">
        <v>34</v>
      </c>
      <c r="AI18" s="32">
        <v>34</v>
      </c>
      <c r="AJ18" s="32">
        <v>30</v>
      </c>
      <c r="AK18" s="32">
        <v>35</v>
      </c>
    </row>
    <row r="19" spans="1:37" s="32" customFormat="1" ht="15">
      <c r="A19" s="96" t="s">
        <v>496</v>
      </c>
      <c r="B19" s="26">
        <v>3</v>
      </c>
      <c r="C19" s="25">
        <v>1</v>
      </c>
      <c r="D19" s="32">
        <v>1</v>
      </c>
      <c r="E19" s="32">
        <v>5</v>
      </c>
      <c r="F19" s="32">
        <v>4</v>
      </c>
      <c r="G19" s="32">
        <v>2</v>
      </c>
      <c r="H19" s="32">
        <v>0</v>
      </c>
      <c r="I19" s="32">
        <v>3</v>
      </c>
      <c r="J19" s="32">
        <v>3</v>
      </c>
      <c r="K19" s="32">
        <v>2</v>
      </c>
      <c r="L19" s="32">
        <v>5</v>
      </c>
      <c r="M19" s="32">
        <v>5</v>
      </c>
      <c r="N19" s="32">
        <v>9</v>
      </c>
      <c r="O19" s="32">
        <v>10</v>
      </c>
      <c r="P19" s="32">
        <v>9</v>
      </c>
      <c r="Q19" s="32">
        <v>5</v>
      </c>
      <c r="R19" s="32">
        <v>9</v>
      </c>
      <c r="S19" s="32">
        <v>5</v>
      </c>
      <c r="T19" s="32">
        <v>2</v>
      </c>
      <c r="U19" s="32">
        <v>1</v>
      </c>
      <c r="V19" s="32">
        <v>6</v>
      </c>
      <c r="W19" s="32">
        <v>4</v>
      </c>
      <c r="X19" s="32">
        <v>2</v>
      </c>
      <c r="Y19" s="32">
        <v>2</v>
      </c>
      <c r="Z19" s="32">
        <v>1</v>
      </c>
      <c r="AA19" s="32">
        <v>1</v>
      </c>
      <c r="AB19" s="32">
        <v>2</v>
      </c>
      <c r="AC19" s="32">
        <v>2</v>
      </c>
      <c r="AD19" s="32">
        <v>2</v>
      </c>
      <c r="AE19" s="32">
        <v>0</v>
      </c>
      <c r="AF19" s="32">
        <v>6</v>
      </c>
      <c r="AG19" s="32">
        <v>3</v>
      </c>
      <c r="AH19" s="32">
        <v>3</v>
      </c>
      <c r="AI19" s="32">
        <v>3</v>
      </c>
      <c r="AJ19" s="32">
        <v>4</v>
      </c>
      <c r="AK19" s="32">
        <v>8</v>
      </c>
    </row>
    <row r="20" spans="1:37" s="32" customFormat="1" ht="15">
      <c r="A20" s="96" t="s">
        <v>498</v>
      </c>
      <c r="B20" s="24">
        <v>1</v>
      </c>
      <c r="C20" s="24">
        <v>3</v>
      </c>
      <c r="D20" s="32">
        <v>6</v>
      </c>
      <c r="E20" s="32">
        <v>7</v>
      </c>
      <c r="F20" s="32">
        <v>9</v>
      </c>
      <c r="G20" s="32">
        <v>5</v>
      </c>
      <c r="H20" s="32">
        <v>2</v>
      </c>
      <c r="I20" s="32">
        <v>8</v>
      </c>
      <c r="J20" s="32">
        <v>7</v>
      </c>
      <c r="K20" s="32">
        <v>3</v>
      </c>
      <c r="L20" s="32">
        <v>7</v>
      </c>
      <c r="M20" s="32">
        <v>10</v>
      </c>
      <c r="N20" s="32">
        <v>10</v>
      </c>
      <c r="O20" s="32">
        <v>13</v>
      </c>
      <c r="P20" s="32">
        <v>5</v>
      </c>
      <c r="Q20" s="32">
        <v>10</v>
      </c>
      <c r="R20" s="32">
        <v>3</v>
      </c>
      <c r="S20" s="32">
        <v>7</v>
      </c>
      <c r="T20" s="32">
        <v>2</v>
      </c>
      <c r="U20" s="32">
        <v>4</v>
      </c>
      <c r="V20" s="32">
        <v>5</v>
      </c>
      <c r="W20" s="32">
        <v>1</v>
      </c>
      <c r="X20" s="32">
        <v>7</v>
      </c>
      <c r="Y20" s="32">
        <v>4</v>
      </c>
      <c r="Z20" s="32">
        <v>2</v>
      </c>
      <c r="AA20" s="32">
        <v>8</v>
      </c>
      <c r="AB20" s="32">
        <v>7</v>
      </c>
      <c r="AC20" s="32">
        <v>4</v>
      </c>
      <c r="AD20" s="32">
        <v>3</v>
      </c>
      <c r="AE20" s="32">
        <v>4</v>
      </c>
      <c r="AF20" s="32">
        <v>8</v>
      </c>
      <c r="AG20" s="32">
        <v>4</v>
      </c>
      <c r="AH20" s="32">
        <v>4</v>
      </c>
      <c r="AI20" s="32">
        <v>5</v>
      </c>
      <c r="AJ20" s="32">
        <v>3</v>
      </c>
      <c r="AK20" s="32">
        <v>2</v>
      </c>
    </row>
    <row r="21" spans="1:37" s="32" customFormat="1" ht="15">
      <c r="A21" s="96" t="s">
        <v>499</v>
      </c>
      <c r="B21" s="26">
        <v>10</v>
      </c>
      <c r="C21" s="24">
        <v>16</v>
      </c>
      <c r="D21" s="32">
        <v>22</v>
      </c>
      <c r="E21" s="32">
        <v>27</v>
      </c>
      <c r="F21" s="32">
        <v>42</v>
      </c>
      <c r="G21" s="32">
        <v>30</v>
      </c>
      <c r="H21" s="32">
        <v>22</v>
      </c>
      <c r="I21" s="32">
        <v>41</v>
      </c>
      <c r="J21" s="32">
        <v>42</v>
      </c>
      <c r="K21" s="32">
        <v>59</v>
      </c>
      <c r="L21" s="32">
        <v>48</v>
      </c>
      <c r="M21" s="32">
        <v>32</v>
      </c>
      <c r="N21" s="32">
        <v>30</v>
      </c>
      <c r="O21" s="32">
        <v>52</v>
      </c>
      <c r="P21" s="32">
        <v>30</v>
      </c>
      <c r="Q21" s="32">
        <v>34</v>
      </c>
      <c r="R21" s="32">
        <v>22</v>
      </c>
      <c r="S21" s="32">
        <v>26</v>
      </c>
      <c r="T21" s="32">
        <v>19</v>
      </c>
      <c r="U21" s="32">
        <v>37</v>
      </c>
      <c r="V21" s="32">
        <v>30</v>
      </c>
      <c r="W21" s="32">
        <v>34</v>
      </c>
      <c r="X21" s="32">
        <v>25</v>
      </c>
      <c r="Y21" s="32">
        <v>28</v>
      </c>
      <c r="Z21" s="32">
        <v>16</v>
      </c>
      <c r="AA21" s="32">
        <v>22</v>
      </c>
      <c r="AB21" s="32">
        <v>32</v>
      </c>
      <c r="AC21" s="32">
        <v>23</v>
      </c>
      <c r="AD21" s="32">
        <v>27</v>
      </c>
      <c r="AE21" s="32">
        <v>40</v>
      </c>
      <c r="AF21" s="32">
        <v>46</v>
      </c>
      <c r="AG21" s="32">
        <v>37</v>
      </c>
      <c r="AH21" s="32">
        <v>42</v>
      </c>
      <c r="AI21" s="32">
        <v>37</v>
      </c>
      <c r="AJ21" s="32">
        <v>33</v>
      </c>
      <c r="AK21" s="32">
        <v>36</v>
      </c>
    </row>
    <row r="22" spans="1:37" s="33" customFormat="1" ht="15">
      <c r="A22" s="96" t="s">
        <v>500</v>
      </c>
      <c r="B22" s="94">
        <v>0</v>
      </c>
      <c r="C22" s="24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10</v>
      </c>
      <c r="J22" s="33">
        <v>5</v>
      </c>
      <c r="K22" s="33">
        <v>3</v>
      </c>
      <c r="L22" s="33">
        <v>6</v>
      </c>
      <c r="M22" s="33">
        <v>5</v>
      </c>
      <c r="N22" s="33">
        <v>5</v>
      </c>
      <c r="O22" s="33">
        <v>2</v>
      </c>
      <c r="P22" s="33">
        <v>0</v>
      </c>
      <c r="Q22" s="33">
        <v>0</v>
      </c>
      <c r="R22" s="33">
        <v>0</v>
      </c>
      <c r="S22" s="33">
        <v>5</v>
      </c>
      <c r="T22" s="33">
        <v>3</v>
      </c>
      <c r="U22" s="33">
        <v>2</v>
      </c>
      <c r="V22" s="33">
        <v>2</v>
      </c>
      <c r="W22" s="33">
        <v>1</v>
      </c>
      <c r="X22" s="33">
        <v>3</v>
      </c>
      <c r="Y22" s="33">
        <v>2</v>
      </c>
      <c r="Z22" s="33">
        <v>5</v>
      </c>
      <c r="AA22" s="33">
        <v>3</v>
      </c>
      <c r="AB22" s="33">
        <v>4</v>
      </c>
      <c r="AC22" s="33">
        <v>5</v>
      </c>
      <c r="AD22" s="33">
        <v>5</v>
      </c>
      <c r="AE22" s="33">
        <v>1</v>
      </c>
      <c r="AF22" s="33">
        <v>3</v>
      </c>
      <c r="AG22" s="33">
        <v>3</v>
      </c>
      <c r="AH22" s="33">
        <v>5</v>
      </c>
      <c r="AI22" s="33">
        <v>1</v>
      </c>
      <c r="AJ22" s="33">
        <v>1</v>
      </c>
      <c r="AK22" s="33">
        <v>3</v>
      </c>
    </row>
    <row r="23" spans="1:37" s="34" customFormat="1" ht="15">
      <c r="A23" s="30"/>
      <c r="B23" s="29">
        <v>37</v>
      </c>
      <c r="C23" s="27">
        <v>46</v>
      </c>
      <c r="D23" s="34">
        <v>56</v>
      </c>
      <c r="E23" s="34">
        <v>65</v>
      </c>
      <c r="F23" s="34">
        <v>84</v>
      </c>
      <c r="G23" s="34">
        <v>50</v>
      </c>
      <c r="H23" s="34">
        <v>59</v>
      </c>
      <c r="I23" s="34">
        <v>89</v>
      </c>
      <c r="J23" s="34">
        <v>81</v>
      </c>
      <c r="K23" s="34">
        <v>97</v>
      </c>
      <c r="L23" s="34">
        <v>100</v>
      </c>
      <c r="M23" s="34">
        <v>98</v>
      </c>
      <c r="N23" s="34">
        <v>102</v>
      </c>
      <c r="O23" s="34">
        <v>107</v>
      </c>
      <c r="P23" s="34">
        <v>84</v>
      </c>
      <c r="Q23" s="34">
        <v>91</v>
      </c>
      <c r="R23" s="34">
        <v>63</v>
      </c>
      <c r="S23" s="34">
        <v>75</v>
      </c>
      <c r="T23" s="34">
        <v>57</v>
      </c>
      <c r="U23" s="34">
        <v>67</v>
      </c>
      <c r="V23" s="34">
        <v>73</v>
      </c>
      <c r="W23" s="34">
        <v>63</v>
      </c>
      <c r="X23" s="34">
        <v>70</v>
      </c>
      <c r="Y23" s="34">
        <v>62</v>
      </c>
      <c r="Z23" s="34">
        <v>51</v>
      </c>
      <c r="AA23" s="34">
        <v>67</v>
      </c>
      <c r="AB23" s="34">
        <v>68</v>
      </c>
      <c r="AC23" s="34">
        <v>57</v>
      </c>
      <c r="AD23" s="34">
        <v>57</v>
      </c>
      <c r="AE23" s="34">
        <v>77</v>
      </c>
      <c r="AF23" s="34">
        <v>90</v>
      </c>
      <c r="AG23" s="34">
        <v>78</v>
      </c>
      <c r="AH23" s="34">
        <v>88</v>
      </c>
      <c r="AI23" s="34">
        <v>80</v>
      </c>
      <c r="AJ23" s="34">
        <v>71</v>
      </c>
      <c r="AK23" s="34">
        <v>84</v>
      </c>
    </row>
    <row r="24" spans="1:3" s="32" customFormat="1" ht="15">
      <c r="A24" s="95" t="s">
        <v>504</v>
      </c>
      <c r="B24" s="28"/>
      <c r="C24" s="24"/>
    </row>
    <row r="25" spans="1:37" s="32" customFormat="1" ht="15">
      <c r="A25" s="96" t="s">
        <v>502</v>
      </c>
      <c r="B25" s="26">
        <v>7</v>
      </c>
      <c r="C25" s="25">
        <v>5</v>
      </c>
      <c r="D25" s="32">
        <v>9</v>
      </c>
      <c r="E25" s="32">
        <v>22</v>
      </c>
      <c r="F25" s="32">
        <v>10</v>
      </c>
      <c r="G25" s="32">
        <v>13</v>
      </c>
      <c r="H25" s="32">
        <v>14</v>
      </c>
      <c r="I25" s="32">
        <v>10</v>
      </c>
      <c r="J25" s="32">
        <v>12</v>
      </c>
      <c r="K25" s="32">
        <v>13</v>
      </c>
      <c r="L25" s="32">
        <v>24</v>
      </c>
      <c r="M25" s="32">
        <v>14</v>
      </c>
      <c r="N25" s="32">
        <v>23</v>
      </c>
      <c r="O25" s="32">
        <v>18</v>
      </c>
      <c r="P25" s="32">
        <v>8</v>
      </c>
      <c r="Q25" s="32">
        <v>17</v>
      </c>
      <c r="R25" s="32">
        <v>16</v>
      </c>
      <c r="S25" s="32">
        <v>28</v>
      </c>
      <c r="T25" s="32">
        <v>12</v>
      </c>
      <c r="U25" s="32">
        <v>12</v>
      </c>
      <c r="V25" s="32">
        <v>22</v>
      </c>
      <c r="W25" s="32">
        <v>28</v>
      </c>
      <c r="X25" s="32">
        <v>17</v>
      </c>
      <c r="Y25" s="32">
        <v>16</v>
      </c>
      <c r="Z25" s="32">
        <v>14</v>
      </c>
      <c r="AA25" s="32">
        <v>25</v>
      </c>
      <c r="AB25" s="32">
        <v>22</v>
      </c>
      <c r="AC25" s="32">
        <v>17</v>
      </c>
      <c r="AD25" s="32">
        <v>25</v>
      </c>
      <c r="AE25" s="32">
        <v>20</v>
      </c>
      <c r="AF25" s="32">
        <v>18</v>
      </c>
      <c r="AG25" s="32">
        <v>22</v>
      </c>
      <c r="AH25" s="32">
        <v>15</v>
      </c>
      <c r="AI25" s="32">
        <v>22</v>
      </c>
      <c r="AJ25" s="32">
        <v>22</v>
      </c>
      <c r="AK25" s="32">
        <v>36</v>
      </c>
    </row>
    <row r="26" spans="1:37" s="32" customFormat="1" ht="15">
      <c r="A26" s="96" t="s">
        <v>496</v>
      </c>
      <c r="B26" s="24">
        <v>2</v>
      </c>
      <c r="C26" s="24">
        <v>3</v>
      </c>
      <c r="D26" s="32">
        <v>6</v>
      </c>
      <c r="E26" s="32">
        <v>7</v>
      </c>
      <c r="F26" s="32">
        <v>8</v>
      </c>
      <c r="G26" s="32">
        <v>7</v>
      </c>
      <c r="H26" s="32">
        <v>6</v>
      </c>
      <c r="I26" s="32">
        <v>14</v>
      </c>
      <c r="J26" s="32">
        <v>12</v>
      </c>
      <c r="K26" s="32">
        <v>5</v>
      </c>
      <c r="L26" s="32">
        <v>15</v>
      </c>
      <c r="M26" s="32">
        <v>10</v>
      </c>
      <c r="N26" s="32">
        <v>15</v>
      </c>
      <c r="O26" s="32">
        <v>18</v>
      </c>
      <c r="P26" s="32">
        <v>9</v>
      </c>
      <c r="Q26" s="32">
        <v>19</v>
      </c>
      <c r="R26" s="32">
        <v>18</v>
      </c>
      <c r="S26" s="32">
        <v>9</v>
      </c>
      <c r="T26" s="32">
        <v>8</v>
      </c>
      <c r="U26" s="32">
        <v>12</v>
      </c>
      <c r="V26" s="32">
        <v>16</v>
      </c>
      <c r="W26" s="32">
        <v>15</v>
      </c>
      <c r="X26" s="32">
        <v>8</v>
      </c>
      <c r="Y26" s="32">
        <v>6</v>
      </c>
      <c r="Z26" s="32">
        <v>4</v>
      </c>
      <c r="AA26" s="32">
        <v>5</v>
      </c>
      <c r="AB26" s="32">
        <v>12</v>
      </c>
      <c r="AC26" s="32">
        <v>2</v>
      </c>
      <c r="AD26" s="32">
        <v>3</v>
      </c>
      <c r="AE26" s="32">
        <v>4</v>
      </c>
      <c r="AF26" s="32">
        <v>8</v>
      </c>
      <c r="AG26" s="32">
        <v>9</v>
      </c>
      <c r="AH26" s="32">
        <v>10</v>
      </c>
      <c r="AI26" s="32">
        <v>13</v>
      </c>
      <c r="AJ26" s="32">
        <v>13</v>
      </c>
      <c r="AK26" s="32">
        <v>11</v>
      </c>
    </row>
    <row r="27" spans="1:37" s="32" customFormat="1" ht="15">
      <c r="A27" s="96" t="s">
        <v>497</v>
      </c>
      <c r="B27" s="26">
        <v>0</v>
      </c>
      <c r="C27" s="24">
        <v>6</v>
      </c>
      <c r="D27" s="32">
        <v>10</v>
      </c>
      <c r="E27" s="32">
        <v>11</v>
      </c>
      <c r="F27" s="32">
        <v>3</v>
      </c>
      <c r="G27" s="32">
        <v>7</v>
      </c>
      <c r="H27" s="32">
        <v>3</v>
      </c>
      <c r="I27" s="32">
        <v>5</v>
      </c>
      <c r="J27" s="32">
        <v>8</v>
      </c>
      <c r="K27" s="32">
        <v>8</v>
      </c>
      <c r="L27" s="32">
        <v>7</v>
      </c>
      <c r="M27" s="32">
        <v>7</v>
      </c>
      <c r="N27" s="32">
        <v>6</v>
      </c>
      <c r="O27" s="32">
        <v>14</v>
      </c>
      <c r="P27" s="32">
        <v>8</v>
      </c>
      <c r="Q27" s="32">
        <v>8</v>
      </c>
      <c r="R27" s="32">
        <v>4</v>
      </c>
      <c r="S27" s="32">
        <v>8</v>
      </c>
      <c r="T27" s="32">
        <v>2</v>
      </c>
      <c r="U27" s="32">
        <v>3</v>
      </c>
      <c r="V27" s="32">
        <v>6</v>
      </c>
      <c r="W27" s="32">
        <v>1</v>
      </c>
      <c r="X27" s="32">
        <v>4</v>
      </c>
      <c r="Y27" s="32">
        <v>4</v>
      </c>
      <c r="Z27" s="32">
        <v>6</v>
      </c>
      <c r="AA27" s="32">
        <v>6</v>
      </c>
      <c r="AB27" s="32">
        <v>6</v>
      </c>
      <c r="AC27" s="32">
        <v>4</v>
      </c>
      <c r="AD27" s="32">
        <v>7</v>
      </c>
      <c r="AE27" s="32">
        <v>8</v>
      </c>
      <c r="AF27" s="32">
        <v>3</v>
      </c>
      <c r="AG27" s="32">
        <v>8</v>
      </c>
      <c r="AH27" s="32">
        <v>5</v>
      </c>
      <c r="AI27" s="32">
        <v>6</v>
      </c>
      <c r="AJ27" s="32">
        <v>4</v>
      </c>
      <c r="AK27" s="32">
        <v>8</v>
      </c>
    </row>
    <row r="28" spans="1:37" s="32" customFormat="1" ht="15">
      <c r="A28" s="96" t="s">
        <v>499</v>
      </c>
      <c r="B28" s="26">
        <v>4</v>
      </c>
      <c r="C28" s="24">
        <v>10</v>
      </c>
      <c r="D28" s="32">
        <v>16</v>
      </c>
      <c r="E28" s="32">
        <v>15</v>
      </c>
      <c r="F28" s="32">
        <v>27</v>
      </c>
      <c r="G28" s="32">
        <v>18</v>
      </c>
      <c r="H28" s="32">
        <v>23</v>
      </c>
      <c r="I28" s="32">
        <v>30</v>
      </c>
      <c r="J28" s="32">
        <v>16</v>
      </c>
      <c r="K28" s="32">
        <v>24</v>
      </c>
      <c r="L28" s="32">
        <v>26</v>
      </c>
      <c r="M28" s="32">
        <v>22</v>
      </c>
      <c r="N28" s="32">
        <v>28</v>
      </c>
      <c r="O28" s="32">
        <v>32</v>
      </c>
      <c r="P28" s="32">
        <v>18</v>
      </c>
      <c r="Q28" s="32">
        <v>16</v>
      </c>
      <c r="R28" s="32">
        <v>24</v>
      </c>
      <c r="S28" s="32">
        <v>21</v>
      </c>
      <c r="T28" s="32">
        <v>16</v>
      </c>
      <c r="U28" s="32">
        <v>24</v>
      </c>
      <c r="V28" s="32">
        <v>27</v>
      </c>
      <c r="W28" s="32">
        <v>18</v>
      </c>
      <c r="X28" s="32">
        <v>25</v>
      </c>
      <c r="Y28" s="32">
        <v>21</v>
      </c>
      <c r="Z28" s="32">
        <v>15</v>
      </c>
      <c r="AA28" s="32">
        <v>24</v>
      </c>
      <c r="AB28" s="32">
        <v>12</v>
      </c>
      <c r="AC28" s="32">
        <v>21</v>
      </c>
      <c r="AD28" s="32">
        <v>21</v>
      </c>
      <c r="AE28" s="32">
        <v>23</v>
      </c>
      <c r="AF28" s="32">
        <v>36</v>
      </c>
      <c r="AG28" s="32">
        <v>26</v>
      </c>
      <c r="AH28" s="32">
        <v>31</v>
      </c>
      <c r="AI28" s="32">
        <v>26</v>
      </c>
      <c r="AJ28" s="32">
        <v>32</v>
      </c>
      <c r="AK28" s="32">
        <v>37</v>
      </c>
    </row>
    <row r="29" spans="1:37" s="33" customFormat="1" ht="15">
      <c r="A29" s="96" t="s">
        <v>500</v>
      </c>
      <c r="B29" s="94">
        <v>0</v>
      </c>
      <c r="C29" s="24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2</v>
      </c>
      <c r="K29" s="33">
        <v>0</v>
      </c>
      <c r="L29" s="33">
        <v>1</v>
      </c>
      <c r="M29" s="33">
        <v>3</v>
      </c>
      <c r="N29" s="33">
        <v>0</v>
      </c>
      <c r="O29" s="33">
        <v>3</v>
      </c>
      <c r="P29" s="33">
        <v>2</v>
      </c>
      <c r="Q29" s="33">
        <v>0</v>
      </c>
      <c r="R29" s="33">
        <v>1</v>
      </c>
      <c r="S29" s="33">
        <v>0</v>
      </c>
      <c r="T29" s="33">
        <v>0</v>
      </c>
      <c r="U29" s="33">
        <v>2</v>
      </c>
      <c r="V29" s="33">
        <v>1</v>
      </c>
      <c r="W29" s="33">
        <v>1</v>
      </c>
      <c r="X29" s="33">
        <v>0</v>
      </c>
      <c r="Y29" s="33">
        <v>2</v>
      </c>
      <c r="Z29" s="33">
        <v>0</v>
      </c>
      <c r="AA29" s="33">
        <v>3</v>
      </c>
      <c r="AB29" s="33">
        <v>3</v>
      </c>
      <c r="AC29" s="33">
        <v>14</v>
      </c>
      <c r="AD29" s="33">
        <v>5</v>
      </c>
      <c r="AE29" s="33">
        <v>4</v>
      </c>
      <c r="AF29" s="33">
        <v>3</v>
      </c>
      <c r="AG29" s="33">
        <v>2</v>
      </c>
      <c r="AH29" s="33">
        <v>1</v>
      </c>
      <c r="AI29" s="33">
        <v>1</v>
      </c>
      <c r="AJ29" s="33">
        <v>0</v>
      </c>
      <c r="AK29" s="33">
        <v>0</v>
      </c>
    </row>
    <row r="30" spans="1:37" s="34" customFormat="1" ht="15">
      <c r="A30" s="30"/>
      <c r="B30" s="29">
        <v>13</v>
      </c>
      <c r="C30" s="27">
        <v>24</v>
      </c>
      <c r="D30" s="34">
        <v>41</v>
      </c>
      <c r="E30" s="34">
        <v>55</v>
      </c>
      <c r="F30" s="34">
        <v>48</v>
      </c>
      <c r="G30" s="34">
        <v>45</v>
      </c>
      <c r="H30" s="34">
        <v>46</v>
      </c>
      <c r="I30" s="34">
        <v>59</v>
      </c>
      <c r="J30" s="34">
        <v>50</v>
      </c>
      <c r="K30" s="34">
        <v>50</v>
      </c>
      <c r="L30" s="34">
        <v>73</v>
      </c>
      <c r="M30" s="34">
        <v>56</v>
      </c>
      <c r="N30" s="34">
        <v>72</v>
      </c>
      <c r="O30" s="34">
        <v>85</v>
      </c>
      <c r="P30" s="34">
        <v>45</v>
      </c>
      <c r="Q30" s="34">
        <v>60</v>
      </c>
      <c r="R30" s="34">
        <v>63</v>
      </c>
      <c r="S30" s="34">
        <v>66</v>
      </c>
      <c r="T30" s="34">
        <v>38</v>
      </c>
      <c r="U30" s="34">
        <v>53</v>
      </c>
      <c r="V30" s="34">
        <v>72</v>
      </c>
      <c r="W30" s="34">
        <v>63</v>
      </c>
      <c r="X30" s="34">
        <v>54</v>
      </c>
      <c r="Y30" s="34">
        <v>49</v>
      </c>
      <c r="Z30" s="34">
        <v>39</v>
      </c>
      <c r="AA30" s="34">
        <v>63</v>
      </c>
      <c r="AB30" s="34">
        <v>55</v>
      </c>
      <c r="AC30" s="34">
        <v>58</v>
      </c>
      <c r="AD30" s="34">
        <v>61</v>
      </c>
      <c r="AE30" s="34">
        <v>59</v>
      </c>
      <c r="AF30" s="34">
        <v>68</v>
      </c>
      <c r="AG30" s="34">
        <v>67</v>
      </c>
      <c r="AH30" s="34">
        <v>62</v>
      </c>
      <c r="AI30" s="34">
        <v>68</v>
      </c>
      <c r="AJ30" s="34">
        <v>71</v>
      </c>
      <c r="AK30" s="34">
        <v>92</v>
      </c>
    </row>
    <row r="31" spans="1:3" s="32" customFormat="1" ht="15">
      <c r="A31" s="95" t="s">
        <v>505</v>
      </c>
      <c r="B31" s="28"/>
      <c r="C31" s="25"/>
    </row>
    <row r="32" spans="1:37" s="32" customFormat="1" ht="15">
      <c r="A32" s="96" t="s">
        <v>502</v>
      </c>
      <c r="B32" s="24">
        <v>35</v>
      </c>
      <c r="C32" s="24">
        <v>28</v>
      </c>
      <c r="D32" s="32">
        <v>32</v>
      </c>
      <c r="E32" s="32">
        <v>38</v>
      </c>
      <c r="F32" s="32">
        <v>13</v>
      </c>
      <c r="G32" s="32">
        <v>21</v>
      </c>
      <c r="H32" s="32">
        <v>23</v>
      </c>
      <c r="I32" s="32">
        <v>31</v>
      </c>
      <c r="J32" s="32">
        <v>19</v>
      </c>
      <c r="K32" s="32">
        <v>15</v>
      </c>
      <c r="L32" s="32">
        <v>30</v>
      </c>
      <c r="M32" s="32">
        <v>26</v>
      </c>
      <c r="N32" s="32">
        <v>27</v>
      </c>
      <c r="O32" s="32">
        <v>36</v>
      </c>
      <c r="P32" s="32">
        <v>27</v>
      </c>
      <c r="Q32" s="32">
        <v>28</v>
      </c>
      <c r="R32" s="32">
        <v>36</v>
      </c>
      <c r="S32" s="32">
        <v>30</v>
      </c>
      <c r="T32" s="32">
        <v>29</v>
      </c>
      <c r="U32" s="32">
        <v>38</v>
      </c>
      <c r="V32" s="32">
        <v>28</v>
      </c>
      <c r="W32" s="32">
        <v>32</v>
      </c>
      <c r="X32" s="32">
        <v>47</v>
      </c>
      <c r="Y32" s="32">
        <v>36</v>
      </c>
      <c r="Z32" s="32">
        <v>37</v>
      </c>
      <c r="AA32" s="32">
        <v>44</v>
      </c>
      <c r="AB32" s="32">
        <v>33</v>
      </c>
      <c r="AC32" s="32">
        <v>34</v>
      </c>
      <c r="AD32" s="32">
        <v>44</v>
      </c>
      <c r="AE32" s="32">
        <v>44</v>
      </c>
      <c r="AF32" s="32">
        <v>38</v>
      </c>
      <c r="AG32" s="32">
        <v>40</v>
      </c>
      <c r="AH32" s="32">
        <v>40</v>
      </c>
      <c r="AI32" s="32">
        <v>39</v>
      </c>
      <c r="AJ32" s="32">
        <v>27</v>
      </c>
      <c r="AK32" s="32">
        <v>30</v>
      </c>
    </row>
    <row r="33" spans="1:37" s="32" customFormat="1" ht="15">
      <c r="A33" s="96" t="s">
        <v>496</v>
      </c>
      <c r="B33" s="26">
        <v>2</v>
      </c>
      <c r="C33" s="24">
        <v>7</v>
      </c>
      <c r="D33" s="32">
        <v>7</v>
      </c>
      <c r="E33" s="32">
        <v>9</v>
      </c>
      <c r="F33" s="32">
        <v>10</v>
      </c>
      <c r="G33" s="32">
        <v>12</v>
      </c>
      <c r="H33" s="32">
        <v>12</v>
      </c>
      <c r="I33" s="32">
        <v>10</v>
      </c>
      <c r="J33" s="32">
        <v>16</v>
      </c>
      <c r="K33" s="32">
        <v>9</v>
      </c>
      <c r="L33" s="32">
        <v>17</v>
      </c>
      <c r="M33" s="32">
        <v>20</v>
      </c>
      <c r="N33" s="32">
        <v>24</v>
      </c>
      <c r="O33" s="32">
        <v>18</v>
      </c>
      <c r="P33" s="32">
        <v>14</v>
      </c>
      <c r="Q33" s="32">
        <v>16</v>
      </c>
      <c r="R33" s="32">
        <v>14</v>
      </c>
      <c r="S33" s="32">
        <v>10</v>
      </c>
      <c r="T33" s="32">
        <v>15</v>
      </c>
      <c r="U33" s="32">
        <v>14</v>
      </c>
      <c r="V33" s="32">
        <v>21</v>
      </c>
      <c r="W33" s="32">
        <v>17</v>
      </c>
      <c r="X33" s="32">
        <v>21</v>
      </c>
      <c r="Y33" s="32">
        <v>19</v>
      </c>
      <c r="Z33" s="32">
        <v>17</v>
      </c>
      <c r="AA33" s="32">
        <v>14</v>
      </c>
      <c r="AB33" s="32">
        <v>15</v>
      </c>
      <c r="AC33" s="32">
        <v>8</v>
      </c>
      <c r="AD33" s="32">
        <v>15</v>
      </c>
      <c r="AE33" s="32">
        <v>15</v>
      </c>
      <c r="AF33" s="32">
        <v>18</v>
      </c>
      <c r="AG33" s="32">
        <v>17</v>
      </c>
      <c r="AH33" s="32">
        <v>18</v>
      </c>
      <c r="AI33" s="32">
        <v>28</v>
      </c>
      <c r="AJ33" s="32">
        <v>23</v>
      </c>
      <c r="AK33" s="32">
        <v>20</v>
      </c>
    </row>
    <row r="34" spans="1:37" s="32" customFormat="1" ht="15">
      <c r="A34" s="96" t="s">
        <v>497</v>
      </c>
      <c r="B34" s="26">
        <v>40</v>
      </c>
      <c r="C34" s="24">
        <v>28</v>
      </c>
      <c r="D34" s="32">
        <v>38</v>
      </c>
      <c r="E34" s="32">
        <v>46</v>
      </c>
      <c r="F34" s="32">
        <v>42</v>
      </c>
      <c r="G34" s="32">
        <v>36</v>
      </c>
      <c r="H34" s="32">
        <v>22</v>
      </c>
      <c r="I34" s="32">
        <v>26</v>
      </c>
      <c r="J34" s="32">
        <v>30</v>
      </c>
      <c r="K34" s="32">
        <v>21</v>
      </c>
      <c r="L34" s="32">
        <v>29</v>
      </c>
      <c r="M34" s="32">
        <v>42</v>
      </c>
      <c r="N34" s="32">
        <v>42</v>
      </c>
      <c r="O34" s="32">
        <v>42</v>
      </c>
      <c r="P34" s="32">
        <v>31</v>
      </c>
      <c r="Q34" s="32">
        <v>22</v>
      </c>
      <c r="R34" s="32">
        <v>19</v>
      </c>
      <c r="S34" s="32">
        <v>25</v>
      </c>
      <c r="T34" s="32">
        <v>20</v>
      </c>
      <c r="U34" s="32">
        <v>27</v>
      </c>
      <c r="V34" s="32">
        <v>36</v>
      </c>
      <c r="W34" s="32">
        <v>32</v>
      </c>
      <c r="X34" s="32">
        <v>54</v>
      </c>
      <c r="Y34" s="32">
        <v>36</v>
      </c>
      <c r="Z34" s="32">
        <v>34</v>
      </c>
      <c r="AA34" s="32">
        <v>49</v>
      </c>
      <c r="AB34" s="32">
        <v>56</v>
      </c>
      <c r="AC34" s="32">
        <v>32</v>
      </c>
      <c r="AD34" s="32">
        <v>40</v>
      </c>
      <c r="AE34" s="32">
        <v>56</v>
      </c>
      <c r="AF34" s="32">
        <v>66</v>
      </c>
      <c r="AG34" s="32">
        <v>48</v>
      </c>
      <c r="AH34" s="32">
        <v>44</v>
      </c>
      <c r="AI34" s="32">
        <v>46</v>
      </c>
      <c r="AJ34" s="32">
        <v>37</v>
      </c>
      <c r="AK34" s="32">
        <v>68</v>
      </c>
    </row>
    <row r="35" spans="1:37" s="32" customFormat="1" ht="15">
      <c r="A35" s="96" t="s">
        <v>498</v>
      </c>
      <c r="B35" s="26">
        <v>10</v>
      </c>
      <c r="C35" s="24">
        <v>6</v>
      </c>
      <c r="D35" s="32">
        <v>8</v>
      </c>
      <c r="E35" s="32">
        <v>21</v>
      </c>
      <c r="F35" s="32">
        <v>23</v>
      </c>
      <c r="G35" s="32">
        <v>18</v>
      </c>
      <c r="H35" s="32">
        <v>29</v>
      </c>
      <c r="I35" s="32">
        <v>17</v>
      </c>
      <c r="J35" s="32">
        <v>34</v>
      </c>
      <c r="K35" s="32">
        <v>23</v>
      </c>
      <c r="L35" s="32">
        <v>25</v>
      </c>
      <c r="M35" s="32">
        <v>40</v>
      </c>
      <c r="N35" s="32">
        <v>20</v>
      </c>
      <c r="O35" s="32">
        <v>22</v>
      </c>
      <c r="P35" s="32">
        <v>20</v>
      </c>
      <c r="Q35" s="32">
        <v>26</v>
      </c>
      <c r="R35" s="32">
        <v>20</v>
      </c>
      <c r="S35" s="32">
        <v>12</v>
      </c>
      <c r="T35" s="32">
        <v>16</v>
      </c>
      <c r="U35" s="32">
        <v>17</v>
      </c>
      <c r="V35" s="32">
        <v>19</v>
      </c>
      <c r="W35" s="32">
        <v>17</v>
      </c>
      <c r="X35" s="32">
        <v>29</v>
      </c>
      <c r="Y35" s="32">
        <v>17</v>
      </c>
      <c r="Z35" s="32">
        <v>18</v>
      </c>
      <c r="AA35" s="32">
        <v>22</v>
      </c>
      <c r="AB35" s="32">
        <v>32</v>
      </c>
      <c r="AC35" s="32">
        <v>15</v>
      </c>
      <c r="AD35" s="32">
        <v>22</v>
      </c>
      <c r="AE35" s="32">
        <v>25</v>
      </c>
      <c r="AF35" s="32">
        <v>37</v>
      </c>
      <c r="AG35" s="32">
        <v>26</v>
      </c>
      <c r="AH35" s="32">
        <v>30</v>
      </c>
      <c r="AI35" s="32">
        <v>31</v>
      </c>
      <c r="AJ35" s="32">
        <v>26</v>
      </c>
      <c r="AK35" s="32">
        <v>43</v>
      </c>
    </row>
    <row r="36" spans="1:37" s="33" customFormat="1" ht="15">
      <c r="A36" s="96" t="s">
        <v>500</v>
      </c>
      <c r="B36" s="94">
        <v>0</v>
      </c>
      <c r="C36" s="24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</v>
      </c>
      <c r="L36" s="33">
        <v>0</v>
      </c>
      <c r="M36" s="33">
        <v>0</v>
      </c>
      <c r="N36" s="33">
        <v>1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1</v>
      </c>
      <c r="V36" s="33">
        <v>0</v>
      </c>
      <c r="W36" s="33">
        <v>1</v>
      </c>
      <c r="X36" s="33">
        <v>2</v>
      </c>
      <c r="Y36" s="33">
        <v>0</v>
      </c>
      <c r="Z36" s="33">
        <v>1</v>
      </c>
      <c r="AA36" s="33">
        <v>3</v>
      </c>
      <c r="AB36" s="33">
        <v>2</v>
      </c>
      <c r="AC36" s="33">
        <v>6</v>
      </c>
      <c r="AD36" s="33">
        <v>5</v>
      </c>
      <c r="AE36" s="33">
        <v>3</v>
      </c>
      <c r="AF36" s="33">
        <v>0</v>
      </c>
      <c r="AG36" s="33">
        <v>1</v>
      </c>
      <c r="AH36" s="33">
        <v>0</v>
      </c>
      <c r="AI36" s="33">
        <v>0</v>
      </c>
      <c r="AJ36" s="33">
        <v>0</v>
      </c>
      <c r="AK36" s="33">
        <v>0</v>
      </c>
    </row>
    <row r="37" spans="1:37" s="34" customFormat="1" ht="15">
      <c r="A37" s="30"/>
      <c r="B37" s="29">
        <v>87</v>
      </c>
      <c r="C37" s="29">
        <v>69</v>
      </c>
      <c r="D37" s="34">
        <v>85</v>
      </c>
      <c r="E37" s="34">
        <v>114</v>
      </c>
      <c r="F37" s="34">
        <v>88</v>
      </c>
      <c r="G37" s="34">
        <v>87</v>
      </c>
      <c r="H37" s="34">
        <v>86</v>
      </c>
      <c r="I37" s="34">
        <v>84</v>
      </c>
      <c r="J37" s="34">
        <v>99</v>
      </c>
      <c r="K37" s="34">
        <v>69</v>
      </c>
      <c r="L37" s="34">
        <v>101</v>
      </c>
      <c r="M37" s="34">
        <v>128</v>
      </c>
      <c r="N37" s="34">
        <v>114</v>
      </c>
      <c r="O37" s="34">
        <v>118</v>
      </c>
      <c r="P37" s="34">
        <v>92</v>
      </c>
      <c r="Q37" s="34">
        <v>93</v>
      </c>
      <c r="R37" s="34">
        <v>89</v>
      </c>
      <c r="S37" s="34">
        <v>77</v>
      </c>
      <c r="T37" s="34">
        <v>80</v>
      </c>
      <c r="U37" s="34">
        <v>97</v>
      </c>
      <c r="V37" s="34">
        <v>104</v>
      </c>
      <c r="W37" s="34">
        <v>99</v>
      </c>
      <c r="X37" s="34">
        <v>153</v>
      </c>
      <c r="Y37" s="34">
        <v>108</v>
      </c>
      <c r="Z37" s="34">
        <v>107</v>
      </c>
      <c r="AA37" s="34">
        <v>132</v>
      </c>
      <c r="AB37" s="34">
        <v>138</v>
      </c>
      <c r="AC37" s="34">
        <v>95</v>
      </c>
      <c r="AD37" s="34">
        <v>126</v>
      </c>
      <c r="AE37" s="34">
        <v>143</v>
      </c>
      <c r="AF37" s="34">
        <v>159</v>
      </c>
      <c r="AG37" s="34">
        <v>132</v>
      </c>
      <c r="AH37" s="34">
        <v>132</v>
      </c>
      <c r="AI37" s="34">
        <v>144</v>
      </c>
      <c r="AJ37" s="34">
        <v>113</v>
      </c>
      <c r="AK37" s="34">
        <v>161</v>
      </c>
    </row>
    <row r="38" spans="1:3" s="32" customFormat="1" ht="15">
      <c r="A38" s="95" t="s">
        <v>506</v>
      </c>
      <c r="B38" s="27"/>
      <c r="C38" s="24"/>
    </row>
    <row r="39" spans="1:37" s="32" customFormat="1" ht="15">
      <c r="A39" s="96" t="s">
        <v>502</v>
      </c>
      <c r="B39" s="26">
        <v>0</v>
      </c>
      <c r="C39" s="24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2</v>
      </c>
      <c r="K39" s="32">
        <v>2</v>
      </c>
      <c r="L39" s="32">
        <v>0</v>
      </c>
      <c r="M39" s="32">
        <v>2</v>
      </c>
      <c r="N39" s="32">
        <v>1</v>
      </c>
      <c r="O39" s="32">
        <v>6</v>
      </c>
      <c r="P39" s="32">
        <v>1</v>
      </c>
      <c r="Q39" s="32">
        <v>0</v>
      </c>
      <c r="R39" s="32">
        <v>0</v>
      </c>
      <c r="S39" s="32">
        <v>1</v>
      </c>
      <c r="T39" s="32">
        <v>5</v>
      </c>
      <c r="U39" s="32">
        <v>1</v>
      </c>
      <c r="V39" s="32">
        <v>5</v>
      </c>
      <c r="W39" s="32">
        <v>1</v>
      </c>
      <c r="X39" s="32">
        <v>1</v>
      </c>
      <c r="Y39" s="32">
        <v>1</v>
      </c>
      <c r="Z39" s="32">
        <v>4</v>
      </c>
      <c r="AA39" s="32">
        <v>4</v>
      </c>
      <c r="AB39" s="32">
        <v>2</v>
      </c>
      <c r="AC39" s="32">
        <v>4</v>
      </c>
      <c r="AD39" s="32">
        <v>4</v>
      </c>
      <c r="AE39" s="32">
        <v>9</v>
      </c>
      <c r="AF39" s="32">
        <v>15</v>
      </c>
      <c r="AG39" s="32">
        <v>9</v>
      </c>
      <c r="AH39" s="32">
        <v>14</v>
      </c>
      <c r="AI39" s="32">
        <v>2</v>
      </c>
      <c r="AJ39" s="32">
        <v>0</v>
      </c>
      <c r="AK39" s="32">
        <v>3</v>
      </c>
    </row>
    <row r="40" spans="1:37" s="32" customFormat="1" ht="15">
      <c r="A40" s="96" t="s">
        <v>496</v>
      </c>
      <c r="B40" s="26">
        <v>0</v>
      </c>
      <c r="C40" s="24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3</v>
      </c>
      <c r="M40" s="32">
        <v>2</v>
      </c>
      <c r="N40" s="32">
        <v>2</v>
      </c>
      <c r="O40" s="32">
        <v>2</v>
      </c>
      <c r="P40" s="32">
        <v>0</v>
      </c>
      <c r="Q40" s="32">
        <v>0</v>
      </c>
      <c r="R40" s="32">
        <v>1</v>
      </c>
      <c r="S40" s="32">
        <v>0</v>
      </c>
      <c r="T40" s="32">
        <v>1</v>
      </c>
      <c r="U40" s="32">
        <v>2</v>
      </c>
      <c r="V40" s="32">
        <v>1</v>
      </c>
      <c r="W40" s="32">
        <v>0</v>
      </c>
      <c r="X40" s="32">
        <v>0</v>
      </c>
      <c r="Y40" s="32">
        <v>1</v>
      </c>
      <c r="Z40" s="32">
        <v>1</v>
      </c>
      <c r="AA40" s="32">
        <v>1</v>
      </c>
      <c r="AB40" s="32">
        <v>1</v>
      </c>
      <c r="AC40" s="32">
        <v>2</v>
      </c>
      <c r="AD40" s="32">
        <v>4</v>
      </c>
      <c r="AE40" s="32">
        <v>3</v>
      </c>
      <c r="AF40" s="32">
        <v>3</v>
      </c>
      <c r="AG40" s="32">
        <v>4</v>
      </c>
      <c r="AH40" s="32">
        <v>3</v>
      </c>
      <c r="AI40" s="32">
        <v>3</v>
      </c>
      <c r="AJ40" s="32">
        <v>1</v>
      </c>
      <c r="AK40" s="32">
        <v>2</v>
      </c>
    </row>
    <row r="41" spans="1:37" s="32" customFormat="1" ht="15">
      <c r="A41" s="96" t="s">
        <v>497</v>
      </c>
      <c r="B41" s="26">
        <v>0</v>
      </c>
      <c r="C41" s="24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1</v>
      </c>
      <c r="J41" s="32">
        <v>5</v>
      </c>
      <c r="K41" s="32">
        <v>6</v>
      </c>
      <c r="L41" s="32">
        <v>5</v>
      </c>
      <c r="M41" s="32">
        <v>5</v>
      </c>
      <c r="N41" s="32">
        <v>6</v>
      </c>
      <c r="O41" s="32">
        <v>1</v>
      </c>
      <c r="P41" s="32">
        <v>1</v>
      </c>
      <c r="Q41" s="32">
        <v>0</v>
      </c>
      <c r="R41" s="32">
        <v>2</v>
      </c>
      <c r="S41" s="32">
        <v>2</v>
      </c>
      <c r="T41" s="32">
        <v>2</v>
      </c>
      <c r="U41" s="32">
        <v>3</v>
      </c>
      <c r="V41" s="32">
        <v>1</v>
      </c>
      <c r="W41" s="32">
        <v>1</v>
      </c>
      <c r="X41" s="32">
        <v>1</v>
      </c>
      <c r="Y41" s="32">
        <v>0</v>
      </c>
      <c r="Z41" s="32">
        <v>5</v>
      </c>
      <c r="AA41" s="32">
        <v>7</v>
      </c>
      <c r="AB41" s="32">
        <v>5</v>
      </c>
      <c r="AC41" s="32">
        <v>0</v>
      </c>
      <c r="AD41" s="32">
        <v>4</v>
      </c>
      <c r="AE41" s="32">
        <v>1</v>
      </c>
      <c r="AF41" s="32">
        <v>6</v>
      </c>
      <c r="AG41" s="32">
        <v>3</v>
      </c>
      <c r="AH41" s="32">
        <v>8</v>
      </c>
      <c r="AI41" s="32">
        <v>2</v>
      </c>
      <c r="AJ41" s="32">
        <v>0</v>
      </c>
      <c r="AK41" s="32">
        <v>4</v>
      </c>
    </row>
    <row r="42" spans="1:37" s="32" customFormat="1" ht="15">
      <c r="A42" s="96" t="s">
        <v>498</v>
      </c>
      <c r="B42" s="26">
        <v>0</v>
      </c>
      <c r="C42" s="24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2</v>
      </c>
      <c r="L42" s="32">
        <v>1</v>
      </c>
      <c r="M42" s="32">
        <v>5</v>
      </c>
      <c r="N42" s="32">
        <v>5</v>
      </c>
      <c r="O42" s="32">
        <v>6</v>
      </c>
      <c r="P42" s="32">
        <v>2</v>
      </c>
      <c r="Q42" s="32">
        <v>0</v>
      </c>
      <c r="R42" s="32">
        <v>2</v>
      </c>
      <c r="S42" s="32">
        <v>0</v>
      </c>
      <c r="T42" s="32">
        <v>1</v>
      </c>
      <c r="U42" s="32">
        <v>0</v>
      </c>
      <c r="V42" s="32">
        <v>3</v>
      </c>
      <c r="W42" s="32">
        <v>0</v>
      </c>
      <c r="X42" s="32">
        <v>0</v>
      </c>
      <c r="Y42" s="32">
        <v>0</v>
      </c>
      <c r="Z42" s="32">
        <v>2</v>
      </c>
      <c r="AA42" s="32">
        <v>6</v>
      </c>
      <c r="AB42" s="32">
        <v>3</v>
      </c>
      <c r="AC42" s="32">
        <v>5</v>
      </c>
      <c r="AD42" s="32">
        <v>2</v>
      </c>
      <c r="AE42" s="32">
        <v>2</v>
      </c>
      <c r="AF42" s="32">
        <v>7</v>
      </c>
      <c r="AG42" s="32">
        <v>7</v>
      </c>
      <c r="AH42" s="32">
        <v>8</v>
      </c>
      <c r="AI42" s="32">
        <v>4</v>
      </c>
      <c r="AJ42" s="32">
        <v>1</v>
      </c>
      <c r="AK42" s="32">
        <v>0</v>
      </c>
    </row>
    <row r="43" spans="1:37" s="33" customFormat="1" ht="15">
      <c r="A43" s="96" t="s">
        <v>499</v>
      </c>
      <c r="B43" s="94">
        <v>0</v>
      </c>
      <c r="C43" s="25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1</v>
      </c>
      <c r="K43" s="33">
        <v>0</v>
      </c>
      <c r="L43" s="33">
        <v>0</v>
      </c>
      <c r="M43" s="33">
        <v>1</v>
      </c>
      <c r="N43" s="33">
        <v>1</v>
      </c>
      <c r="O43" s="33">
        <v>1</v>
      </c>
      <c r="P43" s="33">
        <v>1</v>
      </c>
      <c r="Q43" s="33">
        <v>1</v>
      </c>
      <c r="R43" s="33">
        <v>2</v>
      </c>
      <c r="S43" s="33">
        <v>0</v>
      </c>
      <c r="T43" s="33">
        <v>0</v>
      </c>
      <c r="U43" s="33">
        <v>1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5</v>
      </c>
      <c r="AD43" s="33">
        <v>2</v>
      </c>
      <c r="AE43" s="33">
        <v>3</v>
      </c>
      <c r="AF43" s="33">
        <v>2</v>
      </c>
      <c r="AG43" s="33">
        <v>2</v>
      </c>
      <c r="AH43" s="33">
        <v>5</v>
      </c>
      <c r="AI43" s="33">
        <v>0</v>
      </c>
      <c r="AJ43" s="33">
        <v>0</v>
      </c>
      <c r="AK43" s="33">
        <v>2</v>
      </c>
    </row>
    <row r="44" spans="1:37" s="34" customFormat="1" ht="15">
      <c r="A44" s="30"/>
      <c r="B44" s="29">
        <v>0</v>
      </c>
      <c r="C44" s="29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2</v>
      </c>
      <c r="J44" s="34">
        <v>8</v>
      </c>
      <c r="K44" s="34">
        <v>10</v>
      </c>
      <c r="L44" s="34">
        <v>9</v>
      </c>
      <c r="M44" s="34">
        <v>15</v>
      </c>
      <c r="N44" s="34">
        <v>15</v>
      </c>
      <c r="O44" s="34">
        <v>16</v>
      </c>
      <c r="P44" s="34">
        <v>5</v>
      </c>
      <c r="Q44" s="34">
        <v>1</v>
      </c>
      <c r="R44" s="34">
        <v>7</v>
      </c>
      <c r="S44" s="34">
        <v>3</v>
      </c>
      <c r="T44" s="34">
        <v>9</v>
      </c>
      <c r="U44" s="34">
        <v>7</v>
      </c>
      <c r="V44" s="34">
        <v>10</v>
      </c>
      <c r="W44" s="34">
        <v>2</v>
      </c>
      <c r="X44" s="34">
        <v>2</v>
      </c>
      <c r="Y44" s="34">
        <v>2</v>
      </c>
      <c r="Z44" s="34">
        <v>12</v>
      </c>
      <c r="AA44" s="34">
        <v>18</v>
      </c>
      <c r="AB44" s="34">
        <v>11</v>
      </c>
      <c r="AC44" s="34">
        <v>16</v>
      </c>
      <c r="AD44" s="34">
        <v>16</v>
      </c>
      <c r="AE44" s="34">
        <v>18</v>
      </c>
      <c r="AF44" s="34">
        <v>33</v>
      </c>
      <c r="AG44" s="34">
        <v>25</v>
      </c>
      <c r="AH44" s="34">
        <v>38</v>
      </c>
      <c r="AI44" s="34">
        <v>11</v>
      </c>
      <c r="AJ44" s="34">
        <v>2</v>
      </c>
      <c r="AK44" s="34">
        <v>11</v>
      </c>
    </row>
    <row r="45" spans="1:3" s="32" customFormat="1" ht="15">
      <c r="A45" s="89" t="s">
        <v>507</v>
      </c>
      <c r="B45" s="28"/>
      <c r="C45" s="26"/>
    </row>
    <row r="46" spans="1:3" s="32" customFormat="1" ht="15">
      <c r="A46" s="95" t="s">
        <v>508</v>
      </c>
      <c r="B46" s="28"/>
      <c r="C46" s="25"/>
    </row>
    <row r="47" spans="1:37" s="32" customFormat="1" ht="15">
      <c r="A47" s="96" t="s">
        <v>502</v>
      </c>
      <c r="B47" s="26">
        <v>97</v>
      </c>
      <c r="C47" s="25">
        <v>155</v>
      </c>
      <c r="D47" s="32">
        <v>264</v>
      </c>
      <c r="E47" s="32">
        <v>316</v>
      </c>
      <c r="F47" s="32">
        <v>301</v>
      </c>
      <c r="G47" s="32">
        <v>275</v>
      </c>
      <c r="H47" s="32">
        <v>267</v>
      </c>
      <c r="I47" s="32">
        <v>263</v>
      </c>
      <c r="J47" s="32">
        <v>339</v>
      </c>
      <c r="K47" s="32">
        <v>246</v>
      </c>
      <c r="L47" s="32">
        <v>240</v>
      </c>
      <c r="M47" s="32">
        <v>247</v>
      </c>
      <c r="N47" s="32">
        <v>251</v>
      </c>
      <c r="O47" s="32">
        <v>239</v>
      </c>
      <c r="P47" s="32">
        <v>234</v>
      </c>
      <c r="Q47" s="32">
        <v>211</v>
      </c>
      <c r="R47" s="32">
        <v>205</v>
      </c>
      <c r="S47" s="32">
        <v>206</v>
      </c>
      <c r="T47" s="32">
        <v>218</v>
      </c>
      <c r="U47" s="32">
        <v>213</v>
      </c>
      <c r="V47" s="32">
        <v>236</v>
      </c>
      <c r="W47" s="32">
        <v>227</v>
      </c>
      <c r="X47" s="32">
        <v>200</v>
      </c>
      <c r="Y47" s="32">
        <v>194</v>
      </c>
      <c r="Z47" s="32">
        <v>193</v>
      </c>
      <c r="AA47" s="32">
        <v>189</v>
      </c>
      <c r="AB47" s="32">
        <v>201</v>
      </c>
      <c r="AC47" s="32">
        <v>141</v>
      </c>
      <c r="AD47" s="32">
        <v>145</v>
      </c>
      <c r="AE47" s="32">
        <v>187</v>
      </c>
      <c r="AF47" s="32">
        <v>198</v>
      </c>
      <c r="AG47" s="32">
        <v>191</v>
      </c>
      <c r="AH47" s="32">
        <v>196</v>
      </c>
      <c r="AI47" s="32">
        <v>218</v>
      </c>
      <c r="AJ47" s="32">
        <v>169</v>
      </c>
      <c r="AK47" s="32">
        <v>203</v>
      </c>
    </row>
    <row r="48" spans="1:37" s="32" customFormat="1" ht="15">
      <c r="A48" s="96" t="s">
        <v>496</v>
      </c>
      <c r="B48" s="26">
        <v>6</v>
      </c>
      <c r="C48" s="25">
        <v>7</v>
      </c>
      <c r="D48" s="32">
        <v>20</v>
      </c>
      <c r="E48" s="32">
        <v>36</v>
      </c>
      <c r="F48" s="32">
        <v>38</v>
      </c>
      <c r="G48" s="32">
        <v>27</v>
      </c>
      <c r="H48" s="32">
        <v>16</v>
      </c>
      <c r="I48" s="32">
        <v>23</v>
      </c>
      <c r="J48" s="32">
        <v>22</v>
      </c>
      <c r="K48" s="32">
        <v>21</v>
      </c>
      <c r="L48" s="32">
        <v>26</v>
      </c>
      <c r="M48" s="32">
        <v>26</v>
      </c>
      <c r="N48" s="32">
        <v>27</v>
      </c>
      <c r="O48" s="32">
        <v>28</v>
      </c>
      <c r="P48" s="32">
        <v>28</v>
      </c>
      <c r="Q48" s="32">
        <v>18</v>
      </c>
      <c r="R48" s="32">
        <v>33</v>
      </c>
      <c r="S48" s="32">
        <v>28</v>
      </c>
      <c r="T48" s="32">
        <v>27</v>
      </c>
      <c r="U48" s="32">
        <v>29</v>
      </c>
      <c r="V48" s="32">
        <v>31</v>
      </c>
      <c r="W48" s="32">
        <v>32</v>
      </c>
      <c r="X48" s="32">
        <v>19</v>
      </c>
      <c r="Y48" s="32">
        <v>24</v>
      </c>
      <c r="Z48" s="32">
        <v>22</v>
      </c>
      <c r="AA48" s="32">
        <v>30</v>
      </c>
      <c r="AB48" s="32">
        <v>20</v>
      </c>
      <c r="AC48" s="32">
        <v>24</v>
      </c>
      <c r="AD48" s="32">
        <v>16</v>
      </c>
      <c r="AE48" s="32">
        <v>16</v>
      </c>
      <c r="AF48" s="32">
        <v>27</v>
      </c>
      <c r="AG48" s="32">
        <v>21</v>
      </c>
      <c r="AH48" s="32">
        <v>28</v>
      </c>
      <c r="AI48" s="32">
        <v>26</v>
      </c>
      <c r="AJ48" s="32">
        <v>31</v>
      </c>
      <c r="AK48" s="32">
        <v>37</v>
      </c>
    </row>
    <row r="49" spans="1:37" s="32" customFormat="1" ht="15">
      <c r="A49" s="96" t="s">
        <v>497</v>
      </c>
      <c r="B49" s="26">
        <v>125</v>
      </c>
      <c r="C49" s="25">
        <v>124</v>
      </c>
      <c r="D49" s="32">
        <v>202</v>
      </c>
      <c r="E49" s="32">
        <v>232</v>
      </c>
      <c r="F49" s="32">
        <v>193</v>
      </c>
      <c r="G49" s="32">
        <v>170</v>
      </c>
      <c r="H49" s="32">
        <v>181</v>
      </c>
      <c r="I49" s="32">
        <v>181</v>
      </c>
      <c r="J49" s="32">
        <v>218</v>
      </c>
      <c r="K49" s="32">
        <v>166</v>
      </c>
      <c r="L49" s="32">
        <v>184</v>
      </c>
      <c r="M49" s="32">
        <v>230</v>
      </c>
      <c r="N49" s="32">
        <v>170</v>
      </c>
      <c r="O49" s="32">
        <v>162</v>
      </c>
      <c r="P49" s="32">
        <v>126</v>
      </c>
      <c r="Q49" s="32">
        <v>170</v>
      </c>
      <c r="R49" s="32">
        <v>148</v>
      </c>
      <c r="S49" s="32">
        <v>136</v>
      </c>
      <c r="T49" s="32">
        <v>126</v>
      </c>
      <c r="U49" s="32">
        <v>120</v>
      </c>
      <c r="V49" s="32">
        <v>125</v>
      </c>
      <c r="W49" s="32">
        <v>78</v>
      </c>
      <c r="X49" s="32">
        <v>146</v>
      </c>
      <c r="Y49" s="32">
        <v>123</v>
      </c>
      <c r="Z49" s="32">
        <v>112</v>
      </c>
      <c r="AA49" s="32">
        <v>142</v>
      </c>
      <c r="AB49" s="32">
        <v>144</v>
      </c>
      <c r="AC49" s="32">
        <v>111</v>
      </c>
      <c r="AD49" s="32">
        <v>137</v>
      </c>
      <c r="AE49" s="32">
        <v>139</v>
      </c>
      <c r="AF49" s="32">
        <v>142</v>
      </c>
      <c r="AG49" s="32">
        <v>144</v>
      </c>
      <c r="AH49" s="32">
        <v>145</v>
      </c>
      <c r="AI49" s="32">
        <v>145</v>
      </c>
      <c r="AJ49" s="32">
        <v>154</v>
      </c>
      <c r="AK49" s="32">
        <v>157</v>
      </c>
    </row>
    <row r="50" spans="1:37" s="32" customFormat="1" ht="15">
      <c r="A50" s="96" t="s">
        <v>498</v>
      </c>
      <c r="B50" s="26">
        <v>5</v>
      </c>
      <c r="C50" s="25">
        <v>19</v>
      </c>
      <c r="D50" s="32">
        <v>44</v>
      </c>
      <c r="E50" s="32">
        <v>54</v>
      </c>
      <c r="F50" s="32">
        <v>61</v>
      </c>
      <c r="G50" s="32">
        <v>57</v>
      </c>
      <c r="H50" s="32">
        <v>55</v>
      </c>
      <c r="I50" s="32">
        <v>52</v>
      </c>
      <c r="J50" s="32">
        <v>43</v>
      </c>
      <c r="K50" s="32">
        <v>64</v>
      </c>
      <c r="L50" s="32">
        <v>50</v>
      </c>
      <c r="M50" s="32">
        <v>40</v>
      </c>
      <c r="N50" s="32">
        <v>60</v>
      </c>
      <c r="O50" s="32">
        <v>63</v>
      </c>
      <c r="P50" s="32">
        <v>52</v>
      </c>
      <c r="Q50" s="32">
        <v>43</v>
      </c>
      <c r="R50" s="32">
        <v>30</v>
      </c>
      <c r="S50" s="32">
        <v>42</v>
      </c>
      <c r="T50" s="32">
        <v>32</v>
      </c>
      <c r="U50" s="32">
        <v>38</v>
      </c>
      <c r="V50" s="32">
        <v>53</v>
      </c>
      <c r="W50" s="32">
        <v>61</v>
      </c>
      <c r="X50" s="32">
        <v>31</v>
      </c>
      <c r="Y50" s="32">
        <v>24</v>
      </c>
      <c r="Z50" s="32">
        <v>40</v>
      </c>
      <c r="AA50" s="32">
        <v>37</v>
      </c>
      <c r="AB50" s="32">
        <v>41</v>
      </c>
      <c r="AC50" s="32">
        <v>28</v>
      </c>
      <c r="AD50" s="32">
        <v>48</v>
      </c>
      <c r="AE50" s="32">
        <v>33</v>
      </c>
      <c r="AF50" s="32">
        <v>56</v>
      </c>
      <c r="AG50" s="32">
        <v>52</v>
      </c>
      <c r="AH50" s="32">
        <v>51</v>
      </c>
      <c r="AI50" s="32">
        <v>39</v>
      </c>
      <c r="AJ50" s="32">
        <v>33</v>
      </c>
      <c r="AK50" s="32">
        <v>58</v>
      </c>
    </row>
    <row r="51" spans="1:37" s="33" customFormat="1" ht="15">
      <c r="A51" s="96" t="s">
        <v>499</v>
      </c>
      <c r="B51" s="94">
        <v>173</v>
      </c>
      <c r="C51" s="25">
        <v>232</v>
      </c>
      <c r="D51" s="33">
        <v>232</v>
      </c>
      <c r="E51" s="33">
        <v>244</v>
      </c>
      <c r="F51" s="33">
        <v>236</v>
      </c>
      <c r="G51" s="33">
        <v>180</v>
      </c>
      <c r="H51" s="33">
        <v>190</v>
      </c>
      <c r="I51" s="33">
        <v>193</v>
      </c>
      <c r="J51" s="33">
        <v>177</v>
      </c>
      <c r="K51" s="33">
        <v>174</v>
      </c>
      <c r="L51" s="33">
        <v>176</v>
      </c>
      <c r="M51" s="33">
        <v>177</v>
      </c>
      <c r="N51" s="33">
        <v>155</v>
      </c>
      <c r="O51" s="33">
        <v>150</v>
      </c>
      <c r="P51" s="33">
        <v>129</v>
      </c>
      <c r="Q51" s="33">
        <v>139</v>
      </c>
      <c r="R51" s="33">
        <v>164</v>
      </c>
      <c r="S51" s="33">
        <v>177</v>
      </c>
      <c r="T51" s="33">
        <v>146</v>
      </c>
      <c r="U51" s="33">
        <v>171</v>
      </c>
      <c r="V51" s="33">
        <v>170</v>
      </c>
      <c r="W51" s="33">
        <v>174</v>
      </c>
      <c r="X51" s="33">
        <v>169</v>
      </c>
      <c r="Y51" s="33">
        <v>164</v>
      </c>
      <c r="Z51" s="33">
        <v>148</v>
      </c>
      <c r="AA51" s="33">
        <v>187</v>
      </c>
      <c r="AB51" s="33">
        <v>191</v>
      </c>
      <c r="AC51" s="33">
        <v>168</v>
      </c>
      <c r="AD51" s="33">
        <v>208</v>
      </c>
      <c r="AE51" s="33">
        <v>181</v>
      </c>
      <c r="AF51" s="33">
        <v>235</v>
      </c>
      <c r="AG51" s="33">
        <v>186</v>
      </c>
      <c r="AH51" s="33">
        <v>242</v>
      </c>
      <c r="AI51" s="33">
        <v>208</v>
      </c>
      <c r="AJ51" s="33">
        <v>214</v>
      </c>
      <c r="AK51" s="33">
        <v>233</v>
      </c>
    </row>
    <row r="52" spans="1:37" s="34" customFormat="1" ht="15">
      <c r="A52" s="30"/>
      <c r="B52" s="29">
        <v>406</v>
      </c>
      <c r="C52" s="29">
        <v>537</v>
      </c>
      <c r="D52" s="34">
        <v>762</v>
      </c>
      <c r="E52" s="34">
        <v>882</v>
      </c>
      <c r="F52" s="34">
        <v>829</v>
      </c>
      <c r="G52" s="34">
        <v>709</v>
      </c>
      <c r="H52" s="34">
        <v>709</v>
      </c>
      <c r="I52" s="34">
        <v>712</v>
      </c>
      <c r="J52" s="34">
        <v>799</v>
      </c>
      <c r="K52" s="34">
        <v>671</v>
      </c>
      <c r="L52" s="34">
        <v>676</v>
      </c>
      <c r="M52" s="34">
        <v>720</v>
      </c>
      <c r="N52" s="34">
        <v>663</v>
      </c>
      <c r="O52" s="34">
        <v>642</v>
      </c>
      <c r="P52" s="34">
        <v>569</v>
      </c>
      <c r="Q52" s="34">
        <v>581</v>
      </c>
      <c r="R52" s="34">
        <v>580</v>
      </c>
      <c r="S52" s="34">
        <v>589</v>
      </c>
      <c r="T52" s="34">
        <v>549</v>
      </c>
      <c r="U52" s="34">
        <v>571</v>
      </c>
      <c r="V52" s="34">
        <v>615</v>
      </c>
      <c r="W52" s="34">
        <v>572</v>
      </c>
      <c r="X52" s="34">
        <v>565</v>
      </c>
      <c r="Y52" s="34">
        <v>529</v>
      </c>
      <c r="Z52" s="34">
        <v>515</v>
      </c>
      <c r="AA52" s="34">
        <v>585</v>
      </c>
      <c r="AB52" s="34">
        <v>597</v>
      </c>
      <c r="AC52" s="34">
        <v>472</v>
      </c>
      <c r="AD52" s="34">
        <v>554</v>
      </c>
      <c r="AE52" s="34">
        <v>556</v>
      </c>
      <c r="AF52" s="34">
        <v>658</v>
      </c>
      <c r="AG52" s="34">
        <v>594</v>
      </c>
      <c r="AH52" s="34">
        <v>662</v>
      </c>
      <c r="AI52" s="34">
        <v>636</v>
      </c>
      <c r="AJ52" s="34">
        <v>601</v>
      </c>
      <c r="AK52" s="34">
        <v>688</v>
      </c>
    </row>
    <row r="53" spans="1:37" s="34" customFormat="1" ht="30" customHeight="1">
      <c r="A53" s="30" t="s">
        <v>509</v>
      </c>
      <c r="B53" s="28">
        <v>590</v>
      </c>
      <c r="C53" s="29">
        <v>776</v>
      </c>
      <c r="D53" s="34">
        <v>1108</v>
      </c>
      <c r="E53" s="34">
        <v>1314</v>
      </c>
      <c r="F53" s="34">
        <v>1209</v>
      </c>
      <c r="G53" s="34">
        <v>1060</v>
      </c>
      <c r="H53" s="34">
        <v>1092</v>
      </c>
      <c r="I53" s="34">
        <v>1144</v>
      </c>
      <c r="J53" s="34">
        <v>1211</v>
      </c>
      <c r="K53" s="34">
        <v>1053</v>
      </c>
      <c r="L53" s="34">
        <v>1111</v>
      </c>
      <c r="M53" s="34">
        <v>1191</v>
      </c>
      <c r="N53" s="34">
        <v>1120</v>
      </c>
      <c r="O53" s="34">
        <v>1125</v>
      </c>
      <c r="P53" s="34">
        <v>914</v>
      </c>
      <c r="Q53" s="34">
        <v>950</v>
      </c>
      <c r="R53" s="34">
        <v>929</v>
      </c>
      <c r="S53" s="34">
        <v>952</v>
      </c>
      <c r="T53" s="34">
        <v>854</v>
      </c>
      <c r="U53" s="34">
        <v>908</v>
      </c>
      <c r="V53" s="34">
        <v>1010</v>
      </c>
      <c r="W53" s="34">
        <v>941</v>
      </c>
      <c r="X53" s="34">
        <v>961</v>
      </c>
      <c r="Y53" s="34">
        <v>860</v>
      </c>
      <c r="Z53" s="34">
        <v>814</v>
      </c>
      <c r="AA53" s="34">
        <v>964</v>
      </c>
      <c r="AB53" s="34">
        <v>958</v>
      </c>
      <c r="AC53" s="34">
        <v>793</v>
      </c>
      <c r="AD53" s="34">
        <v>942</v>
      </c>
      <c r="AE53" s="34">
        <v>984</v>
      </c>
      <c r="AF53" s="34">
        <v>1142</v>
      </c>
      <c r="AG53" s="34">
        <v>1025</v>
      </c>
      <c r="AH53" s="34">
        <v>1082</v>
      </c>
      <c r="AI53" s="34">
        <v>1083</v>
      </c>
      <c r="AJ53" s="34">
        <v>962</v>
      </c>
      <c r="AK53" s="34">
        <v>1173</v>
      </c>
    </row>
  </sheetData>
  <sheetProtection/>
  <printOptions/>
  <pageMargins left="0.75" right="0.75" top="1" bottom="1" header="0.5" footer="0.5"/>
  <pageSetup horizontalDpi="600" verticalDpi="600" orientation="portrait" scale="60" r:id="rId1"/>
  <headerFooter alignWithMargins="0">
    <oddHeader>&amp;L&amp;"Garamond,Halbfett"&amp;12Table 3-3. Number of Transfers Between Resident Types by Year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9"/>
  <sheetViews>
    <sheetView zoomScale="80" zoomScaleNormal="80" zoomScalePageLayoutView="0" workbookViewId="0" topLeftCell="A1">
      <pane ySplit="5" topLeftCell="A96" activePane="bottomLeft" state="frozen"/>
      <selection pane="topLeft" activeCell="A1" sqref="A1"/>
      <selection pane="bottomLeft" activeCell="C108" sqref="C108"/>
    </sheetView>
  </sheetViews>
  <sheetFormatPr defaultColWidth="9.140625" defaultRowHeight="15"/>
  <cols>
    <col min="1" max="1" width="29.57421875" style="2" customWidth="1"/>
    <col min="2" max="2" width="9.140625" style="2" hidden="1" customWidth="1"/>
    <col min="3" max="7" width="15.7109375" style="5" customWidth="1"/>
    <col min="8" max="16384" width="9.140625" style="11" customWidth="1"/>
  </cols>
  <sheetData>
    <row r="1" ht="19.5">
      <c r="A1" s="12" t="str">
        <f>"TABLE 3-4. Numbers of Intra-Cohort and Cross-Cohort Transfers By Permit Type, 1975-"&amp;TEXT(Sundry!B2,"0000")&amp;"*"</f>
        <v>TABLE 3-4. Numbers of Intra-Cohort and Cross-Cohort Transfers By Permit Type, 1975-2010*</v>
      </c>
    </row>
    <row r="3" spans="1:7" ht="15" customHeight="1">
      <c r="A3" s="166" t="s">
        <v>175</v>
      </c>
      <c r="B3" s="6"/>
      <c r="C3" s="163" t="s">
        <v>510</v>
      </c>
      <c r="D3" s="164"/>
      <c r="E3" s="163" t="s">
        <v>511</v>
      </c>
      <c r="F3" s="164"/>
      <c r="G3" s="39" t="s">
        <v>512</v>
      </c>
    </row>
    <row r="4" spans="1:7" ht="15">
      <c r="A4" s="166"/>
      <c r="B4" s="6"/>
      <c r="C4" s="13" t="s">
        <v>513</v>
      </c>
      <c r="D4" s="13" t="s">
        <v>514</v>
      </c>
      <c r="E4" s="13" t="s">
        <v>513</v>
      </c>
      <c r="F4" s="13" t="s">
        <v>514</v>
      </c>
      <c r="G4" s="40" t="s">
        <v>515</v>
      </c>
    </row>
    <row r="6" spans="1:2" ht="15">
      <c r="A6" s="3">
        <v>1975</v>
      </c>
      <c r="B6" s="3"/>
    </row>
    <row r="7" spans="1:7" ht="15">
      <c r="A7" s="4" t="s">
        <v>186</v>
      </c>
      <c r="B7" s="4" t="s">
        <v>187</v>
      </c>
      <c r="C7" s="38">
        <f>IF(ISNA(VLOOKUP(B7,Table4Data!$B:$G,2,FALSE)),0,VLOOKUP(B7,Table4Data!$B:$G,2,FALSE))</f>
        <v>737</v>
      </c>
      <c r="D7" s="41">
        <f>IF(ISNA(VLOOKUP(B7,Table4Data!$B:$G,3,FALSE)),"-",VLOOKUP(B7,Table4Data!$B:$G,3,FALSE)/100)</f>
        <v>0.651060070671378</v>
      </c>
      <c r="E7" s="38">
        <f>IF(ISNA(VLOOKUP(B7,Table4Data!$B:$G,4,FALSE)),0,VLOOKUP(B7,Table4Data!$B:$G,4,FALSE))</f>
        <v>395</v>
      </c>
      <c r="F7" s="41">
        <f>IF(ISNA(VLOOKUP(B7,Table4Data!$B:$G,5,FALSE)),"-",VLOOKUP(B7,Table4Data!$B:$G,5,FALSE)/100)</f>
        <v>0.3489399293286219</v>
      </c>
      <c r="G7" s="38">
        <f>IF(ISNA(VLOOKUP(B7,Table4Data!$B:$G,6,FALSE)),0,VLOOKUP(B7,Table4Data!$B:$G,6,FALSE))</f>
        <v>1132</v>
      </c>
    </row>
    <row r="8" spans="1:7" ht="15">
      <c r="A8" s="4" t="s">
        <v>188</v>
      </c>
      <c r="B8" s="4" t="s">
        <v>189</v>
      </c>
      <c r="C8" s="38">
        <f>IF(ISNA(VLOOKUP(B8,Table4Data!$B:$G,2,FALSE)),0,VLOOKUP(B8,Table4Data!$B:$G,2,FALSE))</f>
        <v>1116</v>
      </c>
      <c r="D8" s="41">
        <f>IF(ISNA(VLOOKUP(B8,Table4Data!$B:$G,3,FALSE)),"-",VLOOKUP(B8,Table4Data!$B:$G,3,FALSE)/100)</f>
        <v>0.6172566371681416</v>
      </c>
      <c r="E8" s="38">
        <f>IF(ISNA(VLOOKUP(B8,Table4Data!$B:$G,4,FALSE)),0,VLOOKUP(B8,Table4Data!$B:$G,4,FALSE))</f>
        <v>692</v>
      </c>
      <c r="F8" s="41">
        <f>IF(ISNA(VLOOKUP(B8,Table4Data!$B:$G,5,FALSE)),"-",VLOOKUP(B8,Table4Data!$B:$G,5,FALSE)/100)</f>
        <v>0.3827433628318584</v>
      </c>
      <c r="G8" s="38">
        <f>IF(ISNA(VLOOKUP(B8,Table4Data!$B:$G,6,FALSE)),0,VLOOKUP(B8,Table4Data!$B:$G,6,FALSE))</f>
        <v>1808</v>
      </c>
    </row>
    <row r="9" spans="1:7" ht="15">
      <c r="A9" s="4" t="s">
        <v>190</v>
      </c>
      <c r="B9" s="4" t="s">
        <v>191</v>
      </c>
      <c r="C9" s="38">
        <f>IF(ISNA(VLOOKUP(B9,Table4Data!$B:$G,2,FALSE)),0,VLOOKUP(B9,Table4Data!$B:$G,2,FALSE))</f>
        <v>1620</v>
      </c>
      <c r="D9" s="41">
        <f>IF(ISNA(VLOOKUP(B9,Table4Data!$B:$G,3,FALSE)),"-",VLOOKUP(B9,Table4Data!$B:$G,3,FALSE)/100)</f>
        <v>0.5628908964558721</v>
      </c>
      <c r="E9" s="38">
        <f>IF(ISNA(VLOOKUP(B9,Table4Data!$B:$G,4,FALSE)),0,VLOOKUP(B9,Table4Data!$B:$G,4,FALSE))</f>
        <v>1258</v>
      </c>
      <c r="F9" s="41">
        <f>IF(ISNA(VLOOKUP(B9,Table4Data!$B:$G,5,FALSE)),"-",VLOOKUP(B9,Table4Data!$B:$G,5,FALSE)/100)</f>
        <v>0.4371091035441279</v>
      </c>
      <c r="G9" s="38">
        <f>IF(ISNA(VLOOKUP(B9,Table4Data!$B:$G,6,FALSE)),0,VLOOKUP(B9,Table4Data!$B:$G,6,FALSE))</f>
        <v>2878</v>
      </c>
    </row>
    <row r="10" spans="1:7" ht="15">
      <c r="A10" s="7" t="s">
        <v>192</v>
      </c>
      <c r="B10" s="7" t="s">
        <v>193</v>
      </c>
      <c r="C10" s="38">
        <f>IF(ISNA(VLOOKUP(B10,Table4Data!$B:$G,2,FALSE)),0,VLOOKUP(B10,Table4Data!$B:$G,2,FALSE))</f>
        <v>387</v>
      </c>
      <c r="D10" s="41">
        <f>IF(ISNA(VLOOKUP(B10,Table4Data!$B:$G,3,FALSE)),"-",VLOOKUP(B10,Table4Data!$B:$G,3,FALSE)/100)</f>
        <v>0.6592844974446338</v>
      </c>
      <c r="E10" s="38">
        <f>IF(ISNA(VLOOKUP(B10,Table4Data!$B:$G,4,FALSE)),0,VLOOKUP(B10,Table4Data!$B:$G,4,FALSE))</f>
        <v>200</v>
      </c>
      <c r="F10" s="41">
        <f>IF(ISNA(VLOOKUP(B10,Table4Data!$B:$G,5,FALSE)),"-",VLOOKUP(B10,Table4Data!$B:$G,5,FALSE)/100)</f>
        <v>0.3407155025553663</v>
      </c>
      <c r="G10" s="38">
        <f>IF(ISNA(VLOOKUP(B10,Table4Data!$B:$G,6,FALSE)),0,VLOOKUP(B10,Table4Data!$B:$G,6,FALSE))</f>
        <v>587</v>
      </c>
    </row>
    <row r="11" spans="1:7" ht="15">
      <c r="A11" s="7" t="s">
        <v>194</v>
      </c>
      <c r="B11" s="7" t="s">
        <v>195</v>
      </c>
      <c r="C11" s="38">
        <f>IF(ISNA(VLOOKUP(B11,Table4Data!$B:$G,2,FALSE)),0,VLOOKUP(B11,Table4Data!$B:$G,2,FALSE))</f>
        <v>514</v>
      </c>
      <c r="D11" s="41">
        <f>IF(ISNA(VLOOKUP(B11,Table4Data!$B:$G,3,FALSE)),"-",VLOOKUP(B11,Table4Data!$B:$G,3,FALSE)/100)</f>
        <v>0.5874285714285714</v>
      </c>
      <c r="E11" s="38">
        <f>IF(ISNA(VLOOKUP(B11,Table4Data!$B:$G,4,FALSE)),0,VLOOKUP(B11,Table4Data!$B:$G,4,FALSE))</f>
        <v>361</v>
      </c>
      <c r="F11" s="41">
        <f>IF(ISNA(VLOOKUP(B11,Table4Data!$B:$G,5,FALSE)),"-",VLOOKUP(B11,Table4Data!$B:$G,5,FALSE)/100)</f>
        <v>0.4125714285714286</v>
      </c>
      <c r="G11" s="38">
        <f>IF(ISNA(VLOOKUP(B11,Table4Data!$B:$G,6,FALSE)),0,VLOOKUP(B11,Table4Data!$B:$G,6,FALSE))</f>
        <v>875</v>
      </c>
    </row>
    <row r="12" spans="1:7" ht="15">
      <c r="A12" s="7" t="s">
        <v>196</v>
      </c>
      <c r="B12" s="7" t="s">
        <v>197</v>
      </c>
      <c r="C12" s="38">
        <f>IF(ISNA(VLOOKUP(B12,Table4Data!$B:$G,2,FALSE)),0,VLOOKUP(B12,Table4Data!$B:$G,2,FALSE))</f>
        <v>879</v>
      </c>
      <c r="D12" s="41">
        <f>IF(ISNA(VLOOKUP(B12,Table4Data!$B:$G,3,FALSE)),"-",VLOOKUP(B12,Table4Data!$B:$G,3,FALSE)/100)</f>
        <v>0.5241502683363148</v>
      </c>
      <c r="E12" s="38">
        <f>IF(ISNA(VLOOKUP(B12,Table4Data!$B:$G,4,FALSE)),0,VLOOKUP(B12,Table4Data!$B:$G,4,FALSE))</f>
        <v>798</v>
      </c>
      <c r="F12" s="41">
        <f>IF(ISNA(VLOOKUP(B12,Table4Data!$B:$G,5,FALSE)),"-",VLOOKUP(B12,Table4Data!$B:$G,5,FALSE)/100)</f>
        <v>0.47584973166368516</v>
      </c>
      <c r="G12" s="38">
        <f>IF(ISNA(VLOOKUP(B12,Table4Data!$B:$G,6,FALSE)),0,VLOOKUP(B12,Table4Data!$B:$G,6,FALSE))</f>
        <v>1677</v>
      </c>
    </row>
    <row r="13" spans="1:7" ht="15">
      <c r="A13" s="7" t="s">
        <v>198</v>
      </c>
      <c r="B13" s="7" t="s">
        <v>199</v>
      </c>
      <c r="C13" s="38">
        <f>IF(ISNA(VLOOKUP(B13,Table4Data!$B:$G,2,FALSE)),0,VLOOKUP(B13,Table4Data!$B:$G,2,FALSE))</f>
        <v>74</v>
      </c>
      <c r="D13" s="41">
        <f>IF(ISNA(VLOOKUP(B13,Table4Data!$B:$G,3,FALSE)),"-",VLOOKUP(B13,Table4Data!$B:$G,3,FALSE)/100)</f>
        <v>0.6218487394957983</v>
      </c>
      <c r="E13" s="38">
        <f>IF(ISNA(VLOOKUP(B13,Table4Data!$B:$G,4,FALSE)),0,VLOOKUP(B13,Table4Data!$B:$G,4,FALSE))</f>
        <v>45</v>
      </c>
      <c r="F13" s="41">
        <f>IF(ISNA(VLOOKUP(B13,Table4Data!$B:$G,5,FALSE)),"-",VLOOKUP(B13,Table4Data!$B:$G,5,FALSE)/100)</f>
        <v>0.37815126050420167</v>
      </c>
      <c r="G13" s="38">
        <f>IF(ISNA(VLOOKUP(B13,Table4Data!$B:$G,6,FALSE)),0,VLOOKUP(B13,Table4Data!$B:$G,6,FALSE))</f>
        <v>119</v>
      </c>
    </row>
    <row r="14" spans="1:7" ht="15">
      <c r="A14" s="7" t="s">
        <v>200</v>
      </c>
      <c r="B14" s="7" t="s">
        <v>201</v>
      </c>
      <c r="C14" s="38">
        <f>IF(ISNA(VLOOKUP(B14,Table4Data!$B:$G,2,FALSE)),0,VLOOKUP(B14,Table4Data!$B:$G,2,FALSE))</f>
        <v>182</v>
      </c>
      <c r="D14" s="41">
        <f>IF(ISNA(VLOOKUP(B14,Table4Data!$B:$G,3,FALSE)),"-",VLOOKUP(B14,Table4Data!$B:$G,3,FALSE)/100)</f>
        <v>0.7137254901960784</v>
      </c>
      <c r="E14" s="38">
        <f>IF(ISNA(VLOOKUP(B14,Table4Data!$B:$G,4,FALSE)),0,VLOOKUP(B14,Table4Data!$B:$G,4,FALSE))</f>
        <v>73</v>
      </c>
      <c r="F14" s="41">
        <f>IF(ISNA(VLOOKUP(B14,Table4Data!$B:$G,5,FALSE)),"-",VLOOKUP(B14,Table4Data!$B:$G,5,FALSE)/100)</f>
        <v>0.2862745098039216</v>
      </c>
      <c r="G14" s="38">
        <f>IF(ISNA(VLOOKUP(B14,Table4Data!$B:$G,6,FALSE)),0,VLOOKUP(B14,Table4Data!$B:$G,6,FALSE))</f>
        <v>255</v>
      </c>
    </row>
    <row r="15" spans="1:7" ht="15">
      <c r="A15" s="7" t="s">
        <v>202</v>
      </c>
      <c r="B15" s="7" t="s">
        <v>203</v>
      </c>
      <c r="C15" s="38">
        <f>IF(ISNA(VLOOKUP(B15,Table4Data!$B:$G,2,FALSE)),0,VLOOKUP(B15,Table4Data!$B:$G,2,FALSE))</f>
        <v>1227</v>
      </c>
      <c r="D15" s="41">
        <f>IF(ISNA(VLOOKUP(B15,Table4Data!$B:$G,3,FALSE)),"-",VLOOKUP(B15,Table4Data!$B:$G,3,FALSE)/100)</f>
        <v>0.6324742268041237</v>
      </c>
      <c r="E15" s="38">
        <f>IF(ISNA(VLOOKUP(B15,Table4Data!$B:$G,4,FALSE)),0,VLOOKUP(B15,Table4Data!$B:$G,4,FALSE))</f>
        <v>713</v>
      </c>
      <c r="F15" s="41">
        <f>IF(ISNA(VLOOKUP(B15,Table4Data!$B:$G,5,FALSE)),"-",VLOOKUP(B15,Table4Data!$B:$G,5,FALSE)/100)</f>
        <v>0.3675257731958763</v>
      </c>
      <c r="G15" s="38">
        <f>IF(ISNA(VLOOKUP(B15,Table4Data!$B:$G,6,FALSE)),0,VLOOKUP(B15,Table4Data!$B:$G,6,FALSE))</f>
        <v>1940</v>
      </c>
    </row>
    <row r="16" spans="1:7" ht="15">
      <c r="A16" s="7" t="s">
        <v>204</v>
      </c>
      <c r="B16" s="7" t="s">
        <v>205</v>
      </c>
      <c r="C16" s="38">
        <f>IF(ISNA(VLOOKUP(B16,Table4Data!$B:$G,2,FALSE)),0,VLOOKUP(B16,Table4Data!$B:$G,2,FALSE))</f>
        <v>1630</v>
      </c>
      <c r="D16" s="41">
        <f>IF(ISNA(VLOOKUP(B16,Table4Data!$B:$G,3,FALSE)),"-",VLOOKUP(B16,Table4Data!$B:$G,3,FALSE)/100)</f>
        <v>0.6132430398796087</v>
      </c>
      <c r="E16" s="38">
        <f>IF(ISNA(VLOOKUP(B16,Table4Data!$B:$G,4,FALSE)),0,VLOOKUP(B16,Table4Data!$B:$G,4,FALSE))</f>
        <v>1028</v>
      </c>
      <c r="F16" s="41">
        <f>IF(ISNA(VLOOKUP(B16,Table4Data!$B:$G,5,FALSE)),"-",VLOOKUP(B16,Table4Data!$B:$G,5,FALSE)/100)</f>
        <v>0.38675696012039124</v>
      </c>
      <c r="G16" s="38">
        <f>IF(ISNA(VLOOKUP(B16,Table4Data!$B:$G,6,FALSE)),0,VLOOKUP(B16,Table4Data!$B:$G,6,FALSE))</f>
        <v>2658</v>
      </c>
    </row>
    <row r="17" spans="1:7" ht="15">
      <c r="A17" s="7" t="s">
        <v>206</v>
      </c>
      <c r="B17" s="7" t="s">
        <v>207</v>
      </c>
      <c r="C17" s="38">
        <f>IF(ISNA(VLOOKUP(B17,Table4Data!$B:$G,2,FALSE)),0,VLOOKUP(B17,Table4Data!$B:$G,2,FALSE))</f>
        <v>623</v>
      </c>
      <c r="D17" s="41">
        <f>IF(ISNA(VLOOKUP(B17,Table4Data!$B:$G,3,FALSE)),"-",VLOOKUP(B17,Table4Data!$B:$G,3,FALSE)/100)</f>
        <v>0.5230898404701931</v>
      </c>
      <c r="E17" s="38">
        <f>IF(ISNA(VLOOKUP(B17,Table4Data!$B:$G,4,FALSE)),0,VLOOKUP(B17,Table4Data!$B:$G,4,FALSE))</f>
        <v>568</v>
      </c>
      <c r="F17" s="41">
        <f>IF(ISNA(VLOOKUP(B17,Table4Data!$B:$G,5,FALSE)),"-",VLOOKUP(B17,Table4Data!$B:$G,5,FALSE)/100)</f>
        <v>0.4769101595298069</v>
      </c>
      <c r="G17" s="38">
        <f>IF(ISNA(VLOOKUP(B17,Table4Data!$B:$G,6,FALSE)),0,VLOOKUP(B17,Table4Data!$B:$G,6,FALSE))</f>
        <v>1191</v>
      </c>
    </row>
    <row r="18" spans="1:7" ht="15">
      <c r="A18" s="7" t="s">
        <v>208</v>
      </c>
      <c r="B18" s="7" t="s">
        <v>209</v>
      </c>
      <c r="C18" s="38">
        <f>IF(ISNA(VLOOKUP(B18,Table4Data!$B:$G,2,FALSE)),0,VLOOKUP(B18,Table4Data!$B:$G,2,FALSE))</f>
        <v>83</v>
      </c>
      <c r="D18" s="41">
        <f>IF(ISNA(VLOOKUP(B18,Table4Data!$B:$G,3,FALSE)),"-",VLOOKUP(B18,Table4Data!$B:$G,3,FALSE)/100)</f>
        <v>0.6148148148148148</v>
      </c>
      <c r="E18" s="38">
        <f>IF(ISNA(VLOOKUP(B18,Table4Data!$B:$G,4,FALSE)),0,VLOOKUP(B18,Table4Data!$B:$G,4,FALSE))</f>
        <v>52</v>
      </c>
      <c r="F18" s="41">
        <f>IF(ISNA(VLOOKUP(B18,Table4Data!$B:$G,5,FALSE)),"-",VLOOKUP(B18,Table4Data!$B:$G,5,FALSE)/100)</f>
        <v>0.3851851851851852</v>
      </c>
      <c r="G18" s="38">
        <f>IF(ISNA(VLOOKUP(B18,Table4Data!$B:$G,6,FALSE)),0,VLOOKUP(B18,Table4Data!$B:$G,6,FALSE))</f>
        <v>135</v>
      </c>
    </row>
    <row r="19" spans="1:7" ht="15">
      <c r="A19" s="7" t="s">
        <v>210</v>
      </c>
      <c r="B19" s="7" t="s">
        <v>211</v>
      </c>
      <c r="C19" s="38">
        <f>IF(ISNA(VLOOKUP(B19,Table4Data!$B:$G,2,FALSE)),0,VLOOKUP(B19,Table4Data!$B:$G,2,FALSE))</f>
        <v>546</v>
      </c>
      <c r="D19" s="41">
        <f>IF(ISNA(VLOOKUP(B19,Table4Data!$B:$G,3,FALSE)),"-",VLOOKUP(B19,Table4Data!$B:$G,3,FALSE)/100)</f>
        <v>0.6114221724524076</v>
      </c>
      <c r="E19" s="38">
        <f>IF(ISNA(VLOOKUP(B19,Table4Data!$B:$G,4,FALSE)),0,VLOOKUP(B19,Table4Data!$B:$G,4,FALSE))</f>
        <v>347</v>
      </c>
      <c r="F19" s="41">
        <f>IF(ISNA(VLOOKUP(B19,Table4Data!$B:$G,5,FALSE)),"-",VLOOKUP(B19,Table4Data!$B:$G,5,FALSE)/100)</f>
        <v>0.3885778275475924</v>
      </c>
      <c r="G19" s="38">
        <f>IF(ISNA(VLOOKUP(B19,Table4Data!$B:$G,6,FALSE)),0,VLOOKUP(B19,Table4Data!$B:$G,6,FALSE))</f>
        <v>893</v>
      </c>
    </row>
    <row r="20" spans="1:7" ht="15">
      <c r="A20" s="7" t="s">
        <v>212</v>
      </c>
      <c r="B20" s="7" t="s">
        <v>213</v>
      </c>
      <c r="C20" s="38">
        <f>IF(ISNA(VLOOKUP(B20,Table4Data!$B:$G,2,FALSE)),0,VLOOKUP(B20,Table4Data!$B:$G,2,FALSE))</f>
        <v>96</v>
      </c>
      <c r="D20" s="41">
        <f>IF(ISNA(VLOOKUP(B20,Table4Data!$B:$G,3,FALSE)),"-",VLOOKUP(B20,Table4Data!$B:$G,3,FALSE)/100)</f>
        <v>0.5274725274725275</v>
      </c>
      <c r="E20" s="38">
        <f>IF(ISNA(VLOOKUP(B20,Table4Data!$B:$G,4,FALSE)),0,VLOOKUP(B20,Table4Data!$B:$G,4,FALSE))</f>
        <v>86</v>
      </c>
      <c r="F20" s="41">
        <f>IF(ISNA(VLOOKUP(B20,Table4Data!$B:$G,5,FALSE)),"-",VLOOKUP(B20,Table4Data!$B:$G,5,FALSE)/100)</f>
        <v>0.47252747252747257</v>
      </c>
      <c r="G20" s="38">
        <f>IF(ISNA(VLOOKUP(B20,Table4Data!$B:$G,6,FALSE)),0,VLOOKUP(B20,Table4Data!$B:$G,6,FALSE))</f>
        <v>182</v>
      </c>
    </row>
    <row r="21" spans="1:7" ht="15">
      <c r="A21" s="7" t="s">
        <v>214</v>
      </c>
      <c r="B21" s="7" t="s">
        <v>215</v>
      </c>
      <c r="C21" s="38">
        <f>IF(ISNA(VLOOKUP(B21,Table4Data!$B:$G,2,FALSE)),0,VLOOKUP(B21,Table4Data!$B:$G,2,FALSE))</f>
        <v>202</v>
      </c>
      <c r="D21" s="41">
        <f>IF(ISNA(VLOOKUP(B21,Table4Data!$B:$G,3,FALSE)),"-",VLOOKUP(B21,Table4Data!$B:$G,3,FALSE)/100)</f>
        <v>0.6273291925465838</v>
      </c>
      <c r="E21" s="38">
        <f>IF(ISNA(VLOOKUP(B21,Table4Data!$B:$G,4,FALSE)),0,VLOOKUP(B21,Table4Data!$B:$G,4,FALSE))</f>
        <v>120</v>
      </c>
      <c r="F21" s="41">
        <f>IF(ISNA(VLOOKUP(B21,Table4Data!$B:$G,5,FALSE)),"-",VLOOKUP(B21,Table4Data!$B:$G,5,FALSE)/100)</f>
        <v>0.3726708074534162</v>
      </c>
      <c r="G21" s="38">
        <f>IF(ISNA(VLOOKUP(B21,Table4Data!$B:$G,6,FALSE)),0,VLOOKUP(B21,Table4Data!$B:$G,6,FALSE))</f>
        <v>322</v>
      </c>
    </row>
    <row r="22" spans="1:7" ht="15">
      <c r="A22" s="7" t="s">
        <v>216</v>
      </c>
      <c r="B22" s="7" t="s">
        <v>217</v>
      </c>
      <c r="C22" s="38">
        <f>IF(ISNA(VLOOKUP(B22,Table4Data!$B:$G,2,FALSE)),0,VLOOKUP(B22,Table4Data!$B:$G,2,FALSE))</f>
        <v>330</v>
      </c>
      <c r="D22" s="41">
        <f>IF(ISNA(VLOOKUP(B22,Table4Data!$B:$G,3,FALSE)),"-",VLOOKUP(B22,Table4Data!$B:$G,3,FALSE)/100)</f>
        <v>0.5729166666666666</v>
      </c>
      <c r="E22" s="38">
        <f>IF(ISNA(VLOOKUP(B22,Table4Data!$B:$G,4,FALSE)),0,VLOOKUP(B22,Table4Data!$B:$G,4,FALSE))</f>
        <v>246</v>
      </c>
      <c r="F22" s="41">
        <f>IF(ISNA(VLOOKUP(B22,Table4Data!$B:$G,5,FALSE)),"-",VLOOKUP(B22,Table4Data!$B:$G,5,FALSE)/100)</f>
        <v>0.42708333333333337</v>
      </c>
      <c r="G22" s="38">
        <f>IF(ISNA(VLOOKUP(B22,Table4Data!$B:$G,6,FALSE)),0,VLOOKUP(B22,Table4Data!$B:$G,6,FALSE))</f>
        <v>576</v>
      </c>
    </row>
    <row r="23" spans="1:7" ht="15">
      <c r="A23" s="7" t="s">
        <v>218</v>
      </c>
      <c r="B23" s="7" t="s">
        <v>219</v>
      </c>
      <c r="C23" s="38">
        <f>IF(ISNA(VLOOKUP(B23,Table4Data!$B:$G,2,FALSE)),0,VLOOKUP(B23,Table4Data!$B:$G,2,FALSE))</f>
        <v>292</v>
      </c>
      <c r="D23" s="41">
        <f>IF(ISNA(VLOOKUP(B23,Table4Data!$B:$G,3,FALSE)),"-",VLOOKUP(B23,Table4Data!$B:$G,3,FALSE)/100)</f>
        <v>0.6403508771929824</v>
      </c>
      <c r="E23" s="38">
        <f>IF(ISNA(VLOOKUP(B23,Table4Data!$B:$G,4,FALSE)),0,VLOOKUP(B23,Table4Data!$B:$G,4,FALSE))</f>
        <v>164</v>
      </c>
      <c r="F23" s="41">
        <f>IF(ISNA(VLOOKUP(B23,Table4Data!$B:$G,5,FALSE)),"-",VLOOKUP(B23,Table4Data!$B:$G,5,FALSE)/100)</f>
        <v>0.35964912280701755</v>
      </c>
      <c r="G23" s="38">
        <f>IF(ISNA(VLOOKUP(B23,Table4Data!$B:$G,6,FALSE)),0,VLOOKUP(B23,Table4Data!$B:$G,6,FALSE))</f>
        <v>456</v>
      </c>
    </row>
    <row r="24" spans="1:7" ht="15">
      <c r="A24" s="7" t="s">
        <v>220</v>
      </c>
      <c r="B24" s="7" t="s">
        <v>221</v>
      </c>
      <c r="C24" s="38">
        <f>IF(ISNA(VLOOKUP(B24,Table4Data!$B:$G,2,FALSE)),0,VLOOKUP(B24,Table4Data!$B:$G,2,FALSE))</f>
        <v>3692</v>
      </c>
      <c r="D24" s="41">
        <f>IF(ISNA(VLOOKUP(B24,Table4Data!$B:$G,3,FALSE)),"-",VLOOKUP(B24,Table4Data!$B:$G,3,FALSE)/100)</f>
        <v>0.665465032444124</v>
      </c>
      <c r="E24" s="38">
        <f>IF(ISNA(VLOOKUP(B24,Table4Data!$B:$G,4,FALSE)),0,VLOOKUP(B24,Table4Data!$B:$G,4,FALSE))</f>
        <v>1856</v>
      </c>
      <c r="F24" s="41">
        <f>IF(ISNA(VLOOKUP(B24,Table4Data!$B:$G,5,FALSE)),"-",VLOOKUP(B24,Table4Data!$B:$G,5,FALSE)/100)</f>
        <v>0.33453496755587603</v>
      </c>
      <c r="G24" s="38">
        <f>IF(ISNA(VLOOKUP(B24,Table4Data!$B:$G,6,FALSE)),0,VLOOKUP(B24,Table4Data!$B:$G,6,FALSE))</f>
        <v>5548</v>
      </c>
    </row>
    <row r="25" spans="1:7" ht="15">
      <c r="A25" s="7" t="s">
        <v>222</v>
      </c>
      <c r="B25" s="7" t="s">
        <v>223</v>
      </c>
      <c r="C25" s="72">
        <f>IF(ISNA(VLOOKUP(B25,Table4Data!$B:$G,2,FALSE)),0,VLOOKUP(B25,Table4Data!$B:$G,2,FALSE))</f>
        <v>2034</v>
      </c>
      <c r="D25" s="74">
        <f>IF(ISNA(VLOOKUP(B25,Table4Data!$B:$G,3,FALSE)),"-",VLOOKUP(B25,Table4Data!$B:$G,3,FALSE)/100)</f>
        <v>0.6159903089036947</v>
      </c>
      <c r="E25" s="72">
        <f>IF(ISNA(VLOOKUP(B25,Table4Data!$B:$G,4,FALSE)),0,VLOOKUP(B25,Table4Data!$B:$G,4,FALSE))</f>
        <v>1268</v>
      </c>
      <c r="F25" s="74">
        <f>IF(ISNA(VLOOKUP(B25,Table4Data!$B:$G,5,FALSE)),"-",VLOOKUP(B25,Table4Data!$B:$G,5,FALSE)/100)</f>
        <v>0.3840096910963053</v>
      </c>
      <c r="G25" s="72">
        <f>IF(ISNA(VLOOKUP(B25,Table4Data!$B:$G,6,FALSE)),0,VLOOKUP(B25,Table4Data!$B:$G,6,FALSE))</f>
        <v>3302</v>
      </c>
    </row>
    <row r="26" spans="1:7" ht="15">
      <c r="A26" s="7"/>
      <c r="B26" s="7"/>
      <c r="C26" s="71">
        <f>SUM(C7:C25)</f>
        <v>16264</v>
      </c>
      <c r="D26" s="73">
        <f>C26/G26</f>
        <v>0.6129494233813221</v>
      </c>
      <c r="E26" s="71">
        <f>SUM(E7:E25)</f>
        <v>10270</v>
      </c>
      <c r="F26" s="73">
        <f>E26/G26</f>
        <v>0.3870505766186779</v>
      </c>
      <c r="G26" s="71">
        <f>SUM(G7:G25)</f>
        <v>26534</v>
      </c>
    </row>
    <row r="27" spans="1:7" ht="15">
      <c r="A27" s="8"/>
      <c r="B27" s="8"/>
      <c r="C27" s="19"/>
      <c r="D27" s="19"/>
      <c r="E27" s="19"/>
      <c r="F27" s="19"/>
      <c r="G27" s="19"/>
    </row>
    <row r="28" spans="1:7" ht="15">
      <c r="A28" s="9">
        <v>1976</v>
      </c>
      <c r="B28" s="9"/>
      <c r="C28" s="16"/>
      <c r="D28" s="42"/>
      <c r="E28" s="16"/>
      <c r="F28" s="42"/>
      <c r="G28" s="16"/>
    </row>
    <row r="29" spans="1:7" ht="15">
      <c r="A29" s="7" t="s">
        <v>224</v>
      </c>
      <c r="B29" s="7" t="s">
        <v>225</v>
      </c>
      <c r="C29" s="38">
        <f>IF(ISNA(VLOOKUP(B29,Table4Data!$B:$G,2,FALSE)),0,VLOOKUP(B29,Table4Data!$B:$G,2,FALSE))</f>
        <v>64</v>
      </c>
      <c r="D29" s="41">
        <f>IF(ISNA(VLOOKUP(B29,Table4Data!$B:$G,3,FALSE)),"-",VLOOKUP(B29,Table4Data!$B:$G,3,FALSE)/100)</f>
        <v>0.5663716814159292</v>
      </c>
      <c r="E29" s="38">
        <f>IF(ISNA(VLOOKUP(B29,Table4Data!$B:$G,4,FALSE)),0,VLOOKUP(B29,Table4Data!$B:$G,4,FALSE))</f>
        <v>49</v>
      </c>
      <c r="F29" s="41">
        <f>IF(ISNA(VLOOKUP(B29,Table4Data!$B:$G,5,FALSE)),"-",VLOOKUP(B29,Table4Data!$B:$G,5,FALSE)/100)</f>
        <v>0.43362831858407075</v>
      </c>
      <c r="G29" s="38">
        <f>IF(ISNA(VLOOKUP(B29,Table4Data!$B:$G,6,FALSE)),0,VLOOKUP(B29,Table4Data!$B:$G,6,FALSE))</f>
        <v>113</v>
      </c>
    </row>
    <row r="30" spans="1:7" ht="15">
      <c r="A30" s="7" t="s">
        <v>226</v>
      </c>
      <c r="B30" s="7" t="s">
        <v>227</v>
      </c>
      <c r="C30" s="38">
        <f>IF(ISNA(VLOOKUP(B30,Table4Data!$B:$G,2,FALSE)),0,VLOOKUP(B30,Table4Data!$B:$G,2,FALSE))</f>
        <v>186</v>
      </c>
      <c r="D30" s="41">
        <f>IF(ISNA(VLOOKUP(B30,Table4Data!$B:$G,3,FALSE)),"-",VLOOKUP(B30,Table4Data!$B:$G,3,FALSE)/100)</f>
        <v>0.6788321167883211</v>
      </c>
      <c r="E30" s="38">
        <f>IF(ISNA(VLOOKUP(B30,Table4Data!$B:$G,4,FALSE)),0,VLOOKUP(B30,Table4Data!$B:$G,4,FALSE))</f>
        <v>88</v>
      </c>
      <c r="F30" s="41">
        <f>IF(ISNA(VLOOKUP(B30,Table4Data!$B:$G,5,FALSE)),"-",VLOOKUP(B30,Table4Data!$B:$G,5,FALSE)/100)</f>
        <v>0.32116788321167883</v>
      </c>
      <c r="G30" s="38">
        <f>IF(ISNA(VLOOKUP(B30,Table4Data!$B:$G,6,FALSE)),0,VLOOKUP(B30,Table4Data!$B:$G,6,FALSE))</f>
        <v>274</v>
      </c>
    </row>
    <row r="31" spans="1:7" ht="15">
      <c r="A31" s="7" t="s">
        <v>228</v>
      </c>
      <c r="B31" s="7" t="s">
        <v>229</v>
      </c>
      <c r="C31" s="38">
        <f>IF(ISNA(VLOOKUP(B31,Table4Data!$B:$G,2,FALSE)),0,VLOOKUP(B31,Table4Data!$B:$G,2,FALSE))</f>
        <v>1123</v>
      </c>
      <c r="D31" s="41">
        <f>IF(ISNA(VLOOKUP(B31,Table4Data!$B:$G,3,FALSE)),"-",VLOOKUP(B31,Table4Data!$B:$G,3,FALSE)/100)</f>
        <v>0.8027162258756255</v>
      </c>
      <c r="E31" s="38">
        <f>IF(ISNA(VLOOKUP(B31,Table4Data!$B:$G,4,FALSE)),0,VLOOKUP(B31,Table4Data!$B:$G,4,FALSE))</f>
        <v>276</v>
      </c>
      <c r="F31" s="41">
        <f>IF(ISNA(VLOOKUP(B31,Table4Data!$B:$G,5,FALSE)),"-",VLOOKUP(B31,Table4Data!$B:$G,5,FALSE)/100)</f>
        <v>0.19728377412437456</v>
      </c>
      <c r="G31" s="38">
        <f>IF(ISNA(VLOOKUP(B31,Table4Data!$B:$G,6,FALSE)),0,VLOOKUP(B31,Table4Data!$B:$G,6,FALSE))</f>
        <v>1399</v>
      </c>
    </row>
    <row r="32" spans="1:7" ht="15">
      <c r="A32" s="7" t="s">
        <v>230</v>
      </c>
      <c r="B32" s="7" t="s">
        <v>231</v>
      </c>
      <c r="C32" s="38">
        <f>IF(ISNA(VLOOKUP(B32,Table4Data!$B:$G,2,FALSE)),0,VLOOKUP(B32,Table4Data!$B:$G,2,FALSE))</f>
        <v>291</v>
      </c>
      <c r="D32" s="41">
        <f>IF(ISNA(VLOOKUP(B32,Table4Data!$B:$G,3,FALSE)),"-",VLOOKUP(B32,Table4Data!$B:$G,3,FALSE)/100)</f>
        <v>0.7617801047120419</v>
      </c>
      <c r="E32" s="38">
        <f>IF(ISNA(VLOOKUP(B32,Table4Data!$B:$G,4,FALSE)),0,VLOOKUP(B32,Table4Data!$B:$G,4,FALSE))</f>
        <v>91</v>
      </c>
      <c r="F32" s="41">
        <f>IF(ISNA(VLOOKUP(B32,Table4Data!$B:$G,5,FALSE)),"-",VLOOKUP(B32,Table4Data!$B:$G,5,FALSE)/100)</f>
        <v>0.23821989528795812</v>
      </c>
      <c r="G32" s="38">
        <f>IF(ISNA(VLOOKUP(B32,Table4Data!$B:$G,6,FALSE)),0,VLOOKUP(B32,Table4Data!$B:$G,6,FALSE))</f>
        <v>382</v>
      </c>
    </row>
    <row r="33" spans="1:7" ht="15">
      <c r="A33" s="7" t="s">
        <v>232</v>
      </c>
      <c r="B33" s="7" t="s">
        <v>233</v>
      </c>
      <c r="C33" s="38">
        <f>IF(ISNA(VLOOKUP(B33,Table4Data!$B:$G,2,FALSE)),0,VLOOKUP(B33,Table4Data!$B:$G,2,FALSE))</f>
        <v>949</v>
      </c>
      <c r="D33" s="41">
        <f>IF(ISNA(VLOOKUP(B33,Table4Data!$B:$G,3,FALSE)),"-",VLOOKUP(B33,Table4Data!$B:$G,3,FALSE)/100)</f>
        <v>0.7690437601296597</v>
      </c>
      <c r="E33" s="38">
        <f>IF(ISNA(VLOOKUP(B33,Table4Data!$B:$G,4,FALSE)),0,VLOOKUP(B33,Table4Data!$B:$G,4,FALSE))</f>
        <v>285</v>
      </c>
      <c r="F33" s="41">
        <f>IF(ISNA(VLOOKUP(B33,Table4Data!$B:$G,5,FALSE)),"-",VLOOKUP(B33,Table4Data!$B:$G,5,FALSE)/100)</f>
        <v>0.23095623987034034</v>
      </c>
      <c r="G33" s="38">
        <f>IF(ISNA(VLOOKUP(B33,Table4Data!$B:$G,6,FALSE)),0,VLOOKUP(B33,Table4Data!$B:$G,6,FALSE))</f>
        <v>1234</v>
      </c>
    </row>
    <row r="34" spans="1:7" ht="15">
      <c r="A34" s="7" t="s">
        <v>234</v>
      </c>
      <c r="B34" s="7" t="s">
        <v>235</v>
      </c>
      <c r="C34" s="72">
        <f>IF(ISNA(VLOOKUP(B34,Table4Data!$B:$G,2,FALSE)),0,VLOOKUP(B34,Table4Data!$B:$G,2,FALSE))</f>
        <v>297</v>
      </c>
      <c r="D34" s="74">
        <f>IF(ISNA(VLOOKUP(B34,Table4Data!$B:$G,3,FALSE)),"-",VLOOKUP(B34,Table4Data!$B:$G,3,FALSE)/100)</f>
        <v>0.7595907928388747</v>
      </c>
      <c r="E34" s="72">
        <f>IF(ISNA(VLOOKUP(B34,Table4Data!$B:$G,4,FALSE)),0,VLOOKUP(B34,Table4Data!$B:$G,4,FALSE))</f>
        <v>94</v>
      </c>
      <c r="F34" s="74">
        <f>IF(ISNA(VLOOKUP(B34,Table4Data!$B:$G,5,FALSE)),"-",VLOOKUP(B34,Table4Data!$B:$G,5,FALSE)/100)</f>
        <v>0.24040920716112532</v>
      </c>
      <c r="G34" s="72">
        <f>IF(ISNA(VLOOKUP(B34,Table4Data!$B:$G,6,FALSE)),0,VLOOKUP(B34,Table4Data!$B:$G,6,FALSE))</f>
        <v>391</v>
      </c>
    </row>
    <row r="35" spans="1:7" ht="15">
      <c r="A35" s="7"/>
      <c r="B35" s="7"/>
      <c r="C35" s="71">
        <f>SUM(C29:C34)</f>
        <v>2910</v>
      </c>
      <c r="D35" s="73">
        <f>C35/G35</f>
        <v>0.7672027418929607</v>
      </c>
      <c r="E35" s="71">
        <f>SUM(E29:E34)</f>
        <v>883</v>
      </c>
      <c r="F35" s="73">
        <f>E35/G35</f>
        <v>0.23279725810703927</v>
      </c>
      <c r="G35" s="71">
        <f>SUM(G29:G34)</f>
        <v>3793</v>
      </c>
    </row>
    <row r="36" spans="1:7" ht="15">
      <c r="A36" s="8"/>
      <c r="B36" s="8"/>
      <c r="C36" s="19"/>
      <c r="D36" s="19"/>
      <c r="E36" s="19"/>
      <c r="F36" s="19"/>
      <c r="G36" s="19"/>
    </row>
    <row r="37" spans="1:7" ht="15">
      <c r="A37" s="9" t="s">
        <v>236</v>
      </c>
      <c r="B37" s="9"/>
      <c r="C37" s="19"/>
      <c r="D37" s="19"/>
      <c r="E37" s="19"/>
      <c r="F37" s="19"/>
      <c r="G37" s="19"/>
    </row>
    <row r="38" spans="1:7" ht="15">
      <c r="A38" s="7" t="s">
        <v>237</v>
      </c>
      <c r="B38" s="7" t="s">
        <v>238</v>
      </c>
      <c r="C38" s="38">
        <f>IF(ISNA(VLOOKUP(B38,Table4Data!$B:$G,2,FALSE)),0,VLOOKUP(B38,Table4Data!$B:$G,2,FALSE))</f>
        <v>41</v>
      </c>
      <c r="D38" s="41">
        <f>IF(ISNA(VLOOKUP(B38,Table4Data!$B:$G,3,FALSE)),"-",VLOOKUP(B38,Table4Data!$B:$G,3,FALSE)/100)</f>
        <v>0.46590909090909094</v>
      </c>
      <c r="E38" s="38">
        <f>IF(ISNA(VLOOKUP(B38,Table4Data!$B:$G,4,FALSE)),0,VLOOKUP(B38,Table4Data!$B:$G,4,FALSE))</f>
        <v>47</v>
      </c>
      <c r="F38" s="41">
        <f>IF(ISNA(VLOOKUP(B38,Table4Data!$B:$G,5,FALSE)),"-",VLOOKUP(B38,Table4Data!$B:$G,5,FALSE)/100)</f>
        <v>0.5340909090909091</v>
      </c>
      <c r="G38" s="38">
        <f>IF(ISNA(VLOOKUP(B38,Table4Data!$B:$G,6,FALSE)),0,VLOOKUP(B38,Table4Data!$B:$G,6,FALSE))</f>
        <v>88</v>
      </c>
    </row>
    <row r="39" spans="1:7" ht="15">
      <c r="A39" s="7" t="s">
        <v>239</v>
      </c>
      <c r="B39" s="7" t="s">
        <v>240</v>
      </c>
      <c r="C39" s="38">
        <f>IF(ISNA(VLOOKUP(B39,Table4Data!$B:$G,2,FALSE)),0,VLOOKUP(B39,Table4Data!$B:$G,2,FALSE))</f>
        <v>172</v>
      </c>
      <c r="D39" s="41">
        <f>IF(ISNA(VLOOKUP(B39,Table4Data!$B:$G,3,FALSE)),"-",VLOOKUP(B39,Table4Data!$B:$G,3,FALSE)/100)</f>
        <v>0.5714285714285715</v>
      </c>
      <c r="E39" s="38">
        <f>IF(ISNA(VLOOKUP(B39,Table4Data!$B:$G,4,FALSE)),0,VLOOKUP(B39,Table4Data!$B:$G,4,FALSE))</f>
        <v>129</v>
      </c>
      <c r="F39" s="41">
        <f>IF(ISNA(VLOOKUP(B39,Table4Data!$B:$G,5,FALSE)),"-",VLOOKUP(B39,Table4Data!$B:$G,5,FALSE)/100)</f>
        <v>0.42857142857142855</v>
      </c>
      <c r="G39" s="38">
        <f>IF(ISNA(VLOOKUP(B39,Table4Data!$B:$G,6,FALSE)),0,VLOOKUP(B39,Table4Data!$B:$G,6,FALSE))</f>
        <v>301</v>
      </c>
    </row>
    <row r="40" spans="1:7" ht="15">
      <c r="A40" s="7" t="s">
        <v>241</v>
      </c>
      <c r="B40" s="7" t="s">
        <v>242</v>
      </c>
      <c r="C40" s="38">
        <f>IF(ISNA(VLOOKUP(B40,Table4Data!$B:$G,2,FALSE)),0,VLOOKUP(B40,Table4Data!$B:$G,2,FALSE))</f>
        <v>106</v>
      </c>
      <c r="D40" s="41">
        <f>IF(ISNA(VLOOKUP(B40,Table4Data!$B:$G,3,FALSE)),"-",VLOOKUP(B40,Table4Data!$B:$G,3,FALSE)/100)</f>
        <v>0.5353535353535354</v>
      </c>
      <c r="E40" s="38">
        <f>IF(ISNA(VLOOKUP(B40,Table4Data!$B:$G,4,FALSE)),0,VLOOKUP(B40,Table4Data!$B:$G,4,FALSE))</f>
        <v>92</v>
      </c>
      <c r="F40" s="41">
        <f>IF(ISNA(VLOOKUP(B40,Table4Data!$B:$G,5,FALSE)),"-",VLOOKUP(B40,Table4Data!$B:$G,5,FALSE)/100)</f>
        <v>0.46464646464646464</v>
      </c>
      <c r="G40" s="38">
        <f>IF(ISNA(VLOOKUP(B40,Table4Data!$B:$G,6,FALSE)),0,VLOOKUP(B40,Table4Data!$B:$G,6,FALSE))</f>
        <v>198</v>
      </c>
    </row>
    <row r="41" spans="1:7" ht="15">
      <c r="A41" s="7" t="s">
        <v>243</v>
      </c>
      <c r="B41" s="7" t="s">
        <v>244</v>
      </c>
      <c r="C41" s="72">
        <f>IF(ISNA(VLOOKUP(B41,Table4Data!$B:$G,2,FALSE)),0,VLOOKUP(B41,Table4Data!$B:$G,2,FALSE))</f>
        <v>84</v>
      </c>
      <c r="D41" s="74">
        <f>IF(ISNA(VLOOKUP(B41,Table4Data!$B:$G,3,FALSE)),"-",VLOOKUP(B41,Table4Data!$B:$G,3,FALSE)/100)</f>
        <v>0.5490196078431372</v>
      </c>
      <c r="E41" s="72">
        <f>IF(ISNA(VLOOKUP(B41,Table4Data!$B:$G,4,FALSE)),0,VLOOKUP(B41,Table4Data!$B:$G,4,FALSE))</f>
        <v>69</v>
      </c>
      <c r="F41" s="74">
        <f>IF(ISNA(VLOOKUP(B41,Table4Data!$B:$G,5,FALSE)),"-",VLOOKUP(B41,Table4Data!$B:$G,5,FALSE)/100)</f>
        <v>0.45098039215686275</v>
      </c>
      <c r="G41" s="72">
        <f>IF(ISNA(VLOOKUP(B41,Table4Data!$B:$G,6,FALSE)),0,VLOOKUP(B41,Table4Data!$B:$G,6,FALSE))</f>
        <v>153</v>
      </c>
    </row>
    <row r="42" spans="1:7" ht="15">
      <c r="A42" s="7"/>
      <c r="B42" s="7"/>
      <c r="C42" s="71">
        <f>SUM(C38:C41)</f>
        <v>403</v>
      </c>
      <c r="D42" s="73">
        <f>C42/G42</f>
        <v>0.5445945945945946</v>
      </c>
      <c r="E42" s="71">
        <f>SUM(E38:E41)</f>
        <v>337</v>
      </c>
      <c r="F42" s="73">
        <f>E42/G42</f>
        <v>0.4554054054054054</v>
      </c>
      <c r="G42" s="71">
        <f>SUM(G38:G41)</f>
        <v>740</v>
      </c>
    </row>
    <row r="43" spans="1:7" ht="15">
      <c r="A43" s="8"/>
      <c r="B43" s="8"/>
      <c r="C43" s="19"/>
      <c r="D43" s="19"/>
      <c r="E43" s="19"/>
      <c r="F43" s="19"/>
      <c r="G43" s="19"/>
    </row>
    <row r="44" spans="1:7" ht="15">
      <c r="A44" s="9" t="s">
        <v>245</v>
      </c>
      <c r="B44" s="9"/>
      <c r="C44" s="19"/>
      <c r="D44" s="19"/>
      <c r="E44" s="19"/>
      <c r="F44" s="19"/>
      <c r="G44" s="19"/>
    </row>
    <row r="45" spans="1:7" ht="15">
      <c r="A45" s="7" t="s">
        <v>246</v>
      </c>
      <c r="B45" s="7" t="s">
        <v>247</v>
      </c>
      <c r="C45" s="38">
        <f>IF(ISNA(VLOOKUP(B45,Table4Data!$B:$G,2,FALSE)),0,VLOOKUP(B45,Table4Data!$B:$G,2,FALSE))</f>
        <v>1451</v>
      </c>
      <c r="D45" s="41">
        <f>IF(ISNA(VLOOKUP(B45,Table4Data!$B:$G,3,FALSE)),"-",VLOOKUP(B45,Table4Data!$B:$G,3,FALSE)/100)</f>
        <v>0.5888798701298701</v>
      </c>
      <c r="E45" s="38">
        <f>IF(ISNA(VLOOKUP(B45,Table4Data!$B:$G,4,FALSE)),0,VLOOKUP(B45,Table4Data!$B:$G,4,FALSE))</f>
        <v>1013</v>
      </c>
      <c r="F45" s="41">
        <f>IF(ISNA(VLOOKUP(B45,Table4Data!$B:$G,5,FALSE)),"-",VLOOKUP(B45,Table4Data!$B:$G,5,FALSE)/100)</f>
        <v>0.4111201298701299</v>
      </c>
      <c r="G45" s="38">
        <f>IF(ISNA(VLOOKUP(B45,Table4Data!$B:$G,6,FALSE)),0,VLOOKUP(B45,Table4Data!$B:$G,6,FALSE))</f>
        <v>2464</v>
      </c>
    </row>
    <row r="46" spans="1:7" ht="15">
      <c r="A46" s="7" t="s">
        <v>248</v>
      </c>
      <c r="B46" s="7" t="s">
        <v>249</v>
      </c>
      <c r="C46" s="38">
        <f>IF(ISNA(VLOOKUP(B46,Table4Data!$B:$G,2,FALSE)),0,VLOOKUP(B46,Table4Data!$B:$G,2,FALSE))</f>
        <v>46</v>
      </c>
      <c r="D46" s="41">
        <f>IF(ISNA(VLOOKUP(B46,Table4Data!$B:$G,3,FALSE)),"-",VLOOKUP(B46,Table4Data!$B:$G,3,FALSE)/100)</f>
        <v>0.6301369863013698</v>
      </c>
      <c r="E46" s="38">
        <f>IF(ISNA(VLOOKUP(B46,Table4Data!$B:$G,4,FALSE)),0,VLOOKUP(B46,Table4Data!$B:$G,4,FALSE))</f>
        <v>27</v>
      </c>
      <c r="F46" s="41">
        <f>IF(ISNA(VLOOKUP(B46,Table4Data!$B:$G,5,FALSE)),"-",VLOOKUP(B46,Table4Data!$B:$G,5,FALSE)/100)</f>
        <v>0.3698630136986301</v>
      </c>
      <c r="G46" s="38">
        <f>IF(ISNA(VLOOKUP(B46,Table4Data!$B:$G,6,FALSE)),0,VLOOKUP(B46,Table4Data!$B:$G,6,FALSE))</f>
        <v>73</v>
      </c>
    </row>
    <row r="47" spans="1:7" ht="15">
      <c r="A47" s="7" t="s">
        <v>250</v>
      </c>
      <c r="B47" s="7" t="s">
        <v>251</v>
      </c>
      <c r="C47" s="38">
        <f>IF(ISNA(VLOOKUP(B47,Table4Data!$B:$G,2,FALSE)),0,VLOOKUP(B47,Table4Data!$B:$G,2,FALSE))</f>
        <v>11</v>
      </c>
      <c r="D47" s="41">
        <f>IF(ISNA(VLOOKUP(B47,Table4Data!$B:$G,3,FALSE)),"-",VLOOKUP(B47,Table4Data!$B:$G,3,FALSE)/100)</f>
        <v>0.55</v>
      </c>
      <c r="E47" s="38">
        <f>IF(ISNA(VLOOKUP(B47,Table4Data!$B:$G,4,FALSE)),0,VLOOKUP(B47,Table4Data!$B:$G,4,FALSE))</f>
        <v>9</v>
      </c>
      <c r="F47" s="41">
        <f>IF(ISNA(VLOOKUP(B47,Table4Data!$B:$G,5,FALSE)),"-",VLOOKUP(B47,Table4Data!$B:$G,5,FALSE)/100)</f>
        <v>0.45</v>
      </c>
      <c r="G47" s="38">
        <f>IF(ISNA(VLOOKUP(B47,Table4Data!$B:$G,6,FALSE)),0,VLOOKUP(B47,Table4Data!$B:$G,6,FALSE))</f>
        <v>20</v>
      </c>
    </row>
    <row r="48" spans="1:7" ht="15">
      <c r="A48" s="7" t="s">
        <v>252</v>
      </c>
      <c r="B48" s="7" t="s">
        <v>253</v>
      </c>
      <c r="C48" s="38">
        <f>IF(ISNA(VLOOKUP(B48,Table4Data!$B:$G,2,FALSE)),0,VLOOKUP(B48,Table4Data!$B:$G,2,FALSE))</f>
        <v>0</v>
      </c>
      <c r="D48" s="41">
        <f>IF(ISNA(VLOOKUP(B48,Table4Data!$B:$G,3,FALSE)),"-",VLOOKUP(B48,Table4Data!$B:$G,3,FALSE)/100)</f>
        <v>0</v>
      </c>
      <c r="E48" s="38">
        <f>IF(ISNA(VLOOKUP(B48,Table4Data!$B:$G,4,FALSE)),0,VLOOKUP(B48,Table4Data!$B:$G,4,FALSE))</f>
        <v>1</v>
      </c>
      <c r="F48" s="41">
        <f>IF(ISNA(VLOOKUP(B48,Table4Data!$B:$G,5,FALSE)),"-",VLOOKUP(B48,Table4Data!$B:$G,5,FALSE)/100)</f>
        <v>1</v>
      </c>
      <c r="G48" s="38">
        <f>IF(ISNA(VLOOKUP(B48,Table4Data!$B:$G,6,FALSE)),0,VLOOKUP(B48,Table4Data!$B:$G,6,FALSE))</f>
        <v>1</v>
      </c>
    </row>
    <row r="49" spans="1:7" ht="15">
      <c r="A49" s="7" t="s">
        <v>254</v>
      </c>
      <c r="B49" s="7" t="s">
        <v>255</v>
      </c>
      <c r="C49" s="38">
        <f>IF(ISNA(VLOOKUP(B49,Table4Data!$B:$G,2,FALSE)),0,VLOOKUP(B49,Table4Data!$B:$G,2,FALSE))</f>
        <v>6</v>
      </c>
      <c r="D49" s="41">
        <f>IF(ISNA(VLOOKUP(B49,Table4Data!$B:$G,3,FALSE)),"-",VLOOKUP(B49,Table4Data!$B:$G,3,FALSE)/100)</f>
        <v>0.5454545454545454</v>
      </c>
      <c r="E49" s="38">
        <f>IF(ISNA(VLOOKUP(B49,Table4Data!$B:$G,4,FALSE)),0,VLOOKUP(B49,Table4Data!$B:$G,4,FALSE))</f>
        <v>5</v>
      </c>
      <c r="F49" s="41">
        <f>IF(ISNA(VLOOKUP(B49,Table4Data!$B:$G,5,FALSE)),"-",VLOOKUP(B49,Table4Data!$B:$G,5,FALSE)/100)</f>
        <v>0.45454545454545453</v>
      </c>
      <c r="G49" s="38">
        <f>IF(ISNA(VLOOKUP(B49,Table4Data!$B:$G,6,FALSE)),0,VLOOKUP(B49,Table4Data!$B:$G,6,FALSE))</f>
        <v>11</v>
      </c>
    </row>
    <row r="50" spans="1:7" ht="15">
      <c r="A50" s="7" t="s">
        <v>256</v>
      </c>
      <c r="B50" s="7" t="s">
        <v>257</v>
      </c>
      <c r="C50" s="38">
        <f>IF(ISNA(VLOOKUP(B50,Table4Data!$B:$G,2,FALSE)),0,VLOOKUP(B50,Table4Data!$B:$G,2,FALSE))</f>
        <v>4</v>
      </c>
      <c r="D50" s="41">
        <f>IF(ISNA(VLOOKUP(B50,Table4Data!$B:$G,3,FALSE)),"-",VLOOKUP(B50,Table4Data!$B:$G,3,FALSE)/100)</f>
        <v>0.6666666666666667</v>
      </c>
      <c r="E50" s="38">
        <f>IF(ISNA(VLOOKUP(B50,Table4Data!$B:$G,4,FALSE)),0,VLOOKUP(B50,Table4Data!$B:$G,4,FALSE))</f>
        <v>2</v>
      </c>
      <c r="F50" s="41">
        <f>IF(ISNA(VLOOKUP(B50,Table4Data!$B:$G,5,FALSE)),"-",VLOOKUP(B50,Table4Data!$B:$G,5,FALSE)/100)</f>
        <v>0.33333333333333337</v>
      </c>
      <c r="G50" s="38">
        <f>IF(ISNA(VLOOKUP(B50,Table4Data!$B:$G,6,FALSE)),0,VLOOKUP(B50,Table4Data!$B:$G,6,FALSE))</f>
        <v>6</v>
      </c>
    </row>
    <row r="51" spans="1:7" ht="15">
      <c r="A51" s="7" t="s">
        <v>258</v>
      </c>
      <c r="B51" s="7" t="s">
        <v>259</v>
      </c>
      <c r="C51" s="38">
        <f>IF(ISNA(VLOOKUP(B51,Table4Data!$B:$G,2,FALSE)),0,VLOOKUP(B51,Table4Data!$B:$G,2,FALSE))</f>
        <v>7</v>
      </c>
      <c r="D51" s="41">
        <f>IF(ISNA(VLOOKUP(B51,Table4Data!$B:$G,3,FALSE)),"-",VLOOKUP(B51,Table4Data!$B:$G,3,FALSE)/100)</f>
        <v>0.875</v>
      </c>
      <c r="E51" s="38">
        <f>IF(ISNA(VLOOKUP(B51,Table4Data!$B:$G,4,FALSE)),0,VLOOKUP(B51,Table4Data!$B:$G,4,FALSE))</f>
        <v>1</v>
      </c>
      <c r="F51" s="41">
        <f>IF(ISNA(VLOOKUP(B51,Table4Data!$B:$G,5,FALSE)),"-",VLOOKUP(B51,Table4Data!$B:$G,5,FALSE)/100)</f>
        <v>0.125</v>
      </c>
      <c r="G51" s="38">
        <f>IF(ISNA(VLOOKUP(B51,Table4Data!$B:$G,6,FALSE)),0,VLOOKUP(B51,Table4Data!$B:$G,6,FALSE))</f>
        <v>8</v>
      </c>
    </row>
    <row r="52" spans="1:7" ht="15">
      <c r="A52" s="7" t="s">
        <v>260</v>
      </c>
      <c r="B52" s="7" t="s">
        <v>261</v>
      </c>
      <c r="C52" s="38">
        <f>IF(ISNA(VLOOKUP(B52,Table4Data!$B:$G,2,FALSE)),0,VLOOKUP(B52,Table4Data!$B:$G,2,FALSE))</f>
        <v>13</v>
      </c>
      <c r="D52" s="41">
        <f>IF(ISNA(VLOOKUP(B52,Table4Data!$B:$G,3,FALSE)),"-",VLOOKUP(B52,Table4Data!$B:$G,3,FALSE)/100)</f>
        <v>0.7647058823529411</v>
      </c>
      <c r="E52" s="38">
        <f>IF(ISNA(VLOOKUP(B52,Table4Data!$B:$G,4,FALSE)),0,VLOOKUP(B52,Table4Data!$B:$G,4,FALSE))</f>
        <v>4</v>
      </c>
      <c r="F52" s="41">
        <f>IF(ISNA(VLOOKUP(B52,Table4Data!$B:$G,5,FALSE)),"-",VLOOKUP(B52,Table4Data!$B:$G,5,FALSE)/100)</f>
        <v>0.23529411764705885</v>
      </c>
      <c r="G52" s="38">
        <f>IF(ISNA(VLOOKUP(B52,Table4Data!$B:$G,6,FALSE)),0,VLOOKUP(B52,Table4Data!$B:$G,6,FALSE))</f>
        <v>17</v>
      </c>
    </row>
    <row r="53" spans="1:7" ht="15">
      <c r="A53" s="7" t="s">
        <v>262</v>
      </c>
      <c r="B53" s="7" t="s">
        <v>263</v>
      </c>
      <c r="C53" s="38">
        <f>IF(ISNA(VLOOKUP(B53,Table4Data!$B:$G,2,FALSE)),0,VLOOKUP(B53,Table4Data!$B:$G,2,FALSE))</f>
        <v>2</v>
      </c>
      <c r="D53" s="41">
        <f>IF(ISNA(VLOOKUP(B53,Table4Data!$B:$G,3,FALSE)),"-",VLOOKUP(B53,Table4Data!$B:$G,3,FALSE)/100)</f>
        <v>0.5</v>
      </c>
      <c r="E53" s="38">
        <f>IF(ISNA(VLOOKUP(B53,Table4Data!$B:$G,4,FALSE)),0,VLOOKUP(B53,Table4Data!$B:$G,4,FALSE))</f>
        <v>2</v>
      </c>
      <c r="F53" s="41">
        <f>IF(ISNA(VLOOKUP(B53,Table4Data!$B:$G,5,FALSE)),"-",VLOOKUP(B53,Table4Data!$B:$G,5,FALSE)/100)</f>
        <v>0.5</v>
      </c>
      <c r="G53" s="38">
        <f>IF(ISNA(VLOOKUP(B53,Table4Data!$B:$G,6,FALSE)),0,VLOOKUP(B53,Table4Data!$B:$G,6,FALSE))</f>
        <v>4</v>
      </c>
    </row>
    <row r="54" spans="1:7" ht="15">
      <c r="A54" s="7" t="s">
        <v>264</v>
      </c>
      <c r="B54" s="7" t="s">
        <v>265</v>
      </c>
      <c r="C54" s="38">
        <f>IF(ISNA(VLOOKUP(B54,Table4Data!$B:$G,2,FALSE)),0,VLOOKUP(B54,Table4Data!$B:$G,2,FALSE))</f>
        <v>21</v>
      </c>
      <c r="D54" s="41">
        <f>IF(ISNA(VLOOKUP(B54,Table4Data!$B:$G,3,FALSE)),"-",VLOOKUP(B54,Table4Data!$B:$G,3,FALSE)/100)</f>
        <v>0.7241379310344827</v>
      </c>
      <c r="E54" s="38">
        <f>IF(ISNA(VLOOKUP(B54,Table4Data!$B:$G,4,FALSE)),0,VLOOKUP(B54,Table4Data!$B:$G,4,FALSE))</f>
        <v>8</v>
      </c>
      <c r="F54" s="41">
        <f>IF(ISNA(VLOOKUP(B54,Table4Data!$B:$G,5,FALSE)),"-",VLOOKUP(B54,Table4Data!$B:$G,5,FALSE)/100)</f>
        <v>0.27586206896551724</v>
      </c>
      <c r="G54" s="38">
        <f>IF(ISNA(VLOOKUP(B54,Table4Data!$B:$G,6,FALSE)),0,VLOOKUP(B54,Table4Data!$B:$G,6,FALSE))</f>
        <v>29</v>
      </c>
    </row>
    <row r="55" spans="1:7" ht="15">
      <c r="A55" s="7" t="s">
        <v>266</v>
      </c>
      <c r="B55" s="7" t="s">
        <v>267</v>
      </c>
      <c r="C55" s="38">
        <f>IF(ISNA(VLOOKUP(B55,Table4Data!$B:$G,2,FALSE)),0,VLOOKUP(B55,Table4Data!$B:$G,2,FALSE))</f>
        <v>14</v>
      </c>
      <c r="D55" s="41">
        <f>IF(ISNA(VLOOKUP(B55,Table4Data!$B:$G,3,FALSE)),"-",VLOOKUP(B55,Table4Data!$B:$G,3,FALSE)/100)</f>
        <v>0.5384615384615384</v>
      </c>
      <c r="E55" s="38">
        <f>IF(ISNA(VLOOKUP(B55,Table4Data!$B:$G,4,FALSE)),0,VLOOKUP(B55,Table4Data!$B:$G,4,FALSE))</f>
        <v>12</v>
      </c>
      <c r="F55" s="41">
        <f>IF(ISNA(VLOOKUP(B55,Table4Data!$B:$G,5,FALSE)),"-",VLOOKUP(B55,Table4Data!$B:$G,5,FALSE)/100)</f>
        <v>0.4615384615384615</v>
      </c>
      <c r="G55" s="38">
        <f>IF(ISNA(VLOOKUP(B55,Table4Data!$B:$G,6,FALSE)),0,VLOOKUP(B55,Table4Data!$B:$G,6,FALSE))</f>
        <v>26</v>
      </c>
    </row>
    <row r="56" spans="1:7" ht="15">
      <c r="A56" s="7" t="s">
        <v>268</v>
      </c>
      <c r="B56" s="7" t="s">
        <v>269</v>
      </c>
      <c r="C56" s="38">
        <f>IF(ISNA(VLOOKUP(B56,Table4Data!$B:$G,2,FALSE)),0,VLOOKUP(B56,Table4Data!$B:$G,2,FALSE))</f>
        <v>25</v>
      </c>
      <c r="D56" s="41">
        <f>IF(ISNA(VLOOKUP(B56,Table4Data!$B:$G,3,FALSE)),"-",VLOOKUP(B56,Table4Data!$B:$G,3,FALSE)/100)</f>
        <v>0.625</v>
      </c>
      <c r="E56" s="38">
        <f>IF(ISNA(VLOOKUP(B56,Table4Data!$B:$G,4,FALSE)),0,VLOOKUP(B56,Table4Data!$B:$G,4,FALSE))</f>
        <v>15</v>
      </c>
      <c r="F56" s="41">
        <f>IF(ISNA(VLOOKUP(B56,Table4Data!$B:$G,5,FALSE)),"-",VLOOKUP(B56,Table4Data!$B:$G,5,FALSE)/100)</f>
        <v>0.375</v>
      </c>
      <c r="G56" s="38">
        <f>IF(ISNA(VLOOKUP(B56,Table4Data!$B:$G,6,FALSE)),0,VLOOKUP(B56,Table4Data!$B:$G,6,FALSE))</f>
        <v>40</v>
      </c>
    </row>
    <row r="57" spans="1:7" ht="15">
      <c r="A57" s="7" t="s">
        <v>270</v>
      </c>
      <c r="B57" s="7" t="s">
        <v>271</v>
      </c>
      <c r="C57" s="38">
        <f>IF(ISNA(VLOOKUP(B57,Table4Data!$B:$G,2,FALSE)),0,VLOOKUP(B57,Table4Data!$B:$G,2,FALSE))</f>
        <v>54</v>
      </c>
      <c r="D57" s="41">
        <f>IF(ISNA(VLOOKUP(B57,Table4Data!$B:$G,3,FALSE)),"-",VLOOKUP(B57,Table4Data!$B:$G,3,FALSE)/100)</f>
        <v>0.3776223776223776</v>
      </c>
      <c r="E57" s="38">
        <f>IF(ISNA(VLOOKUP(B57,Table4Data!$B:$G,4,FALSE)),0,VLOOKUP(B57,Table4Data!$B:$G,4,FALSE))</f>
        <v>89</v>
      </c>
      <c r="F57" s="41">
        <f>IF(ISNA(VLOOKUP(B57,Table4Data!$B:$G,5,FALSE)),"-",VLOOKUP(B57,Table4Data!$B:$G,5,FALSE)/100)</f>
        <v>0.6223776223776224</v>
      </c>
      <c r="G57" s="38">
        <f>IF(ISNA(VLOOKUP(B57,Table4Data!$B:$G,6,FALSE)),0,VLOOKUP(B57,Table4Data!$B:$G,6,FALSE))</f>
        <v>143</v>
      </c>
    </row>
    <row r="58" spans="1:7" ht="15">
      <c r="A58" s="7" t="s">
        <v>272</v>
      </c>
      <c r="B58" s="7" t="s">
        <v>273</v>
      </c>
      <c r="C58" s="38">
        <f>IF(ISNA(VLOOKUP(B58,Table4Data!$B:$G,2,FALSE)),0,VLOOKUP(B58,Table4Data!$B:$G,2,FALSE))</f>
        <v>45</v>
      </c>
      <c r="D58" s="41">
        <f>IF(ISNA(VLOOKUP(B58,Table4Data!$B:$G,3,FALSE)),"-",VLOOKUP(B58,Table4Data!$B:$G,3,FALSE)/100)</f>
        <v>0.375</v>
      </c>
      <c r="E58" s="38">
        <f>IF(ISNA(VLOOKUP(B58,Table4Data!$B:$G,4,FALSE)),0,VLOOKUP(B58,Table4Data!$B:$G,4,FALSE))</f>
        <v>75</v>
      </c>
      <c r="F58" s="41">
        <f>IF(ISNA(VLOOKUP(B58,Table4Data!$B:$G,5,FALSE)),"-",VLOOKUP(B58,Table4Data!$B:$G,5,FALSE)/100)</f>
        <v>0.625</v>
      </c>
      <c r="G58" s="38">
        <f>IF(ISNA(VLOOKUP(B58,Table4Data!$B:$G,6,FALSE)),0,VLOOKUP(B58,Table4Data!$B:$G,6,FALSE))</f>
        <v>120</v>
      </c>
    </row>
    <row r="59" spans="1:7" ht="15">
      <c r="A59" s="7" t="s">
        <v>274</v>
      </c>
      <c r="B59" s="7" t="s">
        <v>275</v>
      </c>
      <c r="C59" s="72">
        <f>IF(ISNA(VLOOKUP(B59,Table4Data!$B:$G,2,FALSE)),0,VLOOKUP(B59,Table4Data!$B:$G,2,FALSE))</f>
        <v>94</v>
      </c>
      <c r="D59" s="74">
        <f>IF(ISNA(VLOOKUP(B59,Table4Data!$B:$G,3,FALSE)),"-",VLOOKUP(B59,Table4Data!$B:$G,3,FALSE)/100)</f>
        <v>0.5081081081081081</v>
      </c>
      <c r="E59" s="72">
        <f>IF(ISNA(VLOOKUP(B59,Table4Data!$B:$G,4,FALSE)),0,VLOOKUP(B59,Table4Data!$B:$G,4,FALSE))</f>
        <v>91</v>
      </c>
      <c r="F59" s="74">
        <f>IF(ISNA(VLOOKUP(B59,Table4Data!$B:$G,5,FALSE)),"-",VLOOKUP(B59,Table4Data!$B:$G,5,FALSE)/100)</f>
        <v>0.49189189189189186</v>
      </c>
      <c r="G59" s="72">
        <f>IF(ISNA(VLOOKUP(B59,Table4Data!$B:$G,6,FALSE)),0,VLOOKUP(B59,Table4Data!$B:$G,6,FALSE))</f>
        <v>185</v>
      </c>
    </row>
    <row r="60" spans="1:7" ht="15">
      <c r="A60" s="7"/>
      <c r="B60" s="7"/>
      <c r="C60" s="71">
        <f>SUM(C45:C59)</f>
        <v>1793</v>
      </c>
      <c r="D60" s="73">
        <f>C60/G60</f>
        <v>0.5697489672704162</v>
      </c>
      <c r="E60" s="71">
        <f>SUM(E45:E59)</f>
        <v>1354</v>
      </c>
      <c r="F60" s="73">
        <f>E60/G60</f>
        <v>0.4302510327295837</v>
      </c>
      <c r="G60" s="71">
        <f>SUM(G45:G59)</f>
        <v>3147</v>
      </c>
    </row>
    <row r="61" spans="1:7" ht="15">
      <c r="A61" s="8"/>
      <c r="B61" s="8"/>
      <c r="C61" s="19"/>
      <c r="D61" s="19"/>
      <c r="E61" s="19"/>
      <c r="F61" s="19"/>
      <c r="G61" s="19"/>
    </row>
    <row r="62" spans="1:7" ht="15">
      <c r="A62" s="9" t="s">
        <v>278</v>
      </c>
      <c r="B62" s="9"/>
      <c r="C62" s="19"/>
      <c r="D62" s="19"/>
      <c r="E62" s="19"/>
      <c r="F62" s="19"/>
      <c r="G62" s="19"/>
    </row>
    <row r="63" spans="1:7" ht="15">
      <c r="A63" s="7" t="s">
        <v>279</v>
      </c>
      <c r="B63" s="7" t="s">
        <v>280</v>
      </c>
      <c r="C63" s="38">
        <f>IF(ISNA(VLOOKUP(B63,Table4Data!$B:$G,2,FALSE)),0,VLOOKUP(B63,Table4Data!$B:$G,2,FALSE))</f>
        <v>99</v>
      </c>
      <c r="D63" s="41">
        <f>IF(ISNA(VLOOKUP(B63,Table4Data!$B:$G,3,FALSE)),"-",VLOOKUP(B63,Table4Data!$B:$G,3,FALSE)/100)</f>
        <v>0.8319327731092437</v>
      </c>
      <c r="E63" s="38">
        <f>IF(ISNA(VLOOKUP(B63,Table4Data!$B:$G,4,FALSE)),0,VLOOKUP(B63,Table4Data!$B:$G,4,FALSE))</f>
        <v>20</v>
      </c>
      <c r="F63" s="41">
        <f>IF(ISNA(VLOOKUP(B63,Table4Data!$B:$G,5,FALSE)),"-",VLOOKUP(B63,Table4Data!$B:$G,5,FALSE)/100)</f>
        <v>0.16806722689075632</v>
      </c>
      <c r="G63" s="38">
        <f>IF(ISNA(VLOOKUP(B63,Table4Data!$B:$G,6,FALSE)),0,VLOOKUP(B63,Table4Data!$B:$G,6,FALSE))</f>
        <v>119</v>
      </c>
    </row>
    <row r="64" spans="1:7" ht="15">
      <c r="A64" s="7" t="s">
        <v>281</v>
      </c>
      <c r="B64" s="7" t="s">
        <v>282</v>
      </c>
      <c r="C64" s="38">
        <f>IF(ISNA(VLOOKUP(B64,Table4Data!$B:$G,2,FALSE)),0,VLOOKUP(B64,Table4Data!$B:$G,2,FALSE))</f>
        <v>1</v>
      </c>
      <c r="D64" s="41">
        <f>IF(ISNA(VLOOKUP(B64,Table4Data!$B:$G,3,FALSE)),"-",VLOOKUP(B64,Table4Data!$B:$G,3,FALSE)/100)</f>
        <v>1</v>
      </c>
      <c r="E64" s="38">
        <f>IF(ISNA(VLOOKUP(B64,Table4Data!$B:$G,4,FALSE)),0,VLOOKUP(B64,Table4Data!$B:$G,4,FALSE))</f>
        <v>0</v>
      </c>
      <c r="F64" s="41">
        <f>IF(ISNA(VLOOKUP(B64,Table4Data!$B:$G,5,FALSE)),"-",VLOOKUP(B64,Table4Data!$B:$G,5,FALSE)/100)</f>
        <v>0</v>
      </c>
      <c r="G64" s="38">
        <f>IF(ISNA(VLOOKUP(B64,Table4Data!$B:$G,6,FALSE)),0,VLOOKUP(B64,Table4Data!$B:$G,6,FALSE))</f>
        <v>1</v>
      </c>
    </row>
    <row r="65" spans="1:7" ht="15">
      <c r="A65" s="7" t="s">
        <v>283</v>
      </c>
      <c r="B65" s="7" t="s">
        <v>284</v>
      </c>
      <c r="C65" s="38">
        <f>IF(ISNA(VLOOKUP(B65,Table4Data!$B:$G,2,FALSE)),0,VLOOKUP(B65,Table4Data!$B:$G,2,FALSE))</f>
        <v>52</v>
      </c>
      <c r="D65" s="41">
        <f>IF(ISNA(VLOOKUP(B65,Table4Data!$B:$G,3,FALSE)),"-",VLOOKUP(B65,Table4Data!$B:$G,3,FALSE)/100)</f>
        <v>0.7878787878787878</v>
      </c>
      <c r="E65" s="38">
        <f>IF(ISNA(VLOOKUP(B65,Table4Data!$B:$G,4,FALSE)),0,VLOOKUP(B65,Table4Data!$B:$G,4,FALSE))</f>
        <v>14</v>
      </c>
      <c r="F65" s="41">
        <f>IF(ISNA(VLOOKUP(B65,Table4Data!$B:$G,5,FALSE)),"-",VLOOKUP(B65,Table4Data!$B:$G,5,FALSE)/100)</f>
        <v>0.2121212121212121</v>
      </c>
      <c r="G65" s="38">
        <f>IF(ISNA(VLOOKUP(B65,Table4Data!$B:$G,6,FALSE)),0,VLOOKUP(B65,Table4Data!$B:$G,6,FALSE))</f>
        <v>66</v>
      </c>
    </row>
    <row r="66" spans="1:7" ht="15">
      <c r="A66" s="7" t="s">
        <v>285</v>
      </c>
      <c r="B66" s="7" t="s">
        <v>286</v>
      </c>
      <c r="C66" s="38">
        <f>IF(ISNA(VLOOKUP(B66,Table4Data!$B:$G,2,FALSE)),0,VLOOKUP(B66,Table4Data!$B:$G,2,FALSE))</f>
        <v>12</v>
      </c>
      <c r="D66" s="41">
        <f>IF(ISNA(VLOOKUP(B66,Table4Data!$B:$G,3,FALSE)),"-",VLOOKUP(B66,Table4Data!$B:$G,3,FALSE)/100)</f>
        <v>0.75</v>
      </c>
      <c r="E66" s="38">
        <f>IF(ISNA(VLOOKUP(B66,Table4Data!$B:$G,4,FALSE)),0,VLOOKUP(B66,Table4Data!$B:$G,4,FALSE))</f>
        <v>4</v>
      </c>
      <c r="F66" s="41">
        <f>IF(ISNA(VLOOKUP(B66,Table4Data!$B:$G,5,FALSE)),"-",VLOOKUP(B66,Table4Data!$B:$G,5,FALSE)/100)</f>
        <v>0.25</v>
      </c>
      <c r="G66" s="38">
        <f>IF(ISNA(VLOOKUP(B66,Table4Data!$B:$G,6,FALSE)),0,VLOOKUP(B66,Table4Data!$B:$G,6,FALSE))</f>
        <v>16</v>
      </c>
    </row>
    <row r="67" spans="1:7" ht="15">
      <c r="A67" s="7" t="s">
        <v>287</v>
      </c>
      <c r="B67" s="7" t="s">
        <v>288</v>
      </c>
      <c r="C67" s="38">
        <f>IF(ISNA(VLOOKUP(B67,Table4Data!$B:$G,2,FALSE)),0,VLOOKUP(B67,Table4Data!$B:$G,2,FALSE))</f>
        <v>46</v>
      </c>
      <c r="D67" s="41">
        <f>IF(ISNA(VLOOKUP(B67,Table4Data!$B:$G,3,FALSE)),"-",VLOOKUP(B67,Table4Data!$B:$G,3,FALSE)/100)</f>
        <v>0.9787234042553191</v>
      </c>
      <c r="E67" s="38">
        <f>IF(ISNA(VLOOKUP(B67,Table4Data!$B:$G,4,FALSE)),0,VLOOKUP(B67,Table4Data!$B:$G,4,FALSE))</f>
        <v>1</v>
      </c>
      <c r="F67" s="41">
        <f>IF(ISNA(VLOOKUP(B67,Table4Data!$B:$G,5,FALSE)),"-",VLOOKUP(B67,Table4Data!$B:$G,5,FALSE)/100)</f>
        <v>0.02127659574468085</v>
      </c>
      <c r="G67" s="38">
        <f>IF(ISNA(VLOOKUP(B67,Table4Data!$B:$G,6,FALSE)),0,VLOOKUP(B67,Table4Data!$B:$G,6,FALSE))</f>
        <v>47</v>
      </c>
    </row>
    <row r="68" spans="1:7" ht="15">
      <c r="A68" s="7" t="s">
        <v>289</v>
      </c>
      <c r="B68" s="7" t="s">
        <v>290</v>
      </c>
      <c r="C68" s="72">
        <f>IF(ISNA(VLOOKUP(B68,Table4Data!$B:$G,2,FALSE)),0,VLOOKUP(B68,Table4Data!$B:$G,2,FALSE))</f>
        <v>179</v>
      </c>
      <c r="D68" s="74">
        <f>IF(ISNA(VLOOKUP(B68,Table4Data!$B:$G,3,FALSE)),"-",VLOOKUP(B68,Table4Data!$B:$G,3,FALSE)/100)</f>
        <v>0.5440729483282675</v>
      </c>
      <c r="E68" s="72">
        <f>IF(ISNA(VLOOKUP(B68,Table4Data!$B:$G,4,FALSE)),0,VLOOKUP(B68,Table4Data!$B:$G,4,FALSE))</f>
        <v>150</v>
      </c>
      <c r="F68" s="74">
        <f>IF(ISNA(VLOOKUP(B68,Table4Data!$B:$G,5,FALSE)),"-",VLOOKUP(B68,Table4Data!$B:$G,5,FALSE)/100)</f>
        <v>0.4559270516717325</v>
      </c>
      <c r="G68" s="72">
        <f>IF(ISNA(VLOOKUP(B68,Table4Data!$B:$G,6,FALSE)),0,VLOOKUP(B68,Table4Data!$B:$G,6,FALSE))</f>
        <v>329</v>
      </c>
    </row>
    <row r="69" spans="1:7" ht="15">
      <c r="A69" s="7"/>
      <c r="B69" s="7"/>
      <c r="C69" s="71">
        <f>SUM(C63:C68)</f>
        <v>389</v>
      </c>
      <c r="D69" s="73">
        <f>C69/G69</f>
        <v>0.6730103806228374</v>
      </c>
      <c r="E69" s="71">
        <f>SUM(E63:E68)</f>
        <v>189</v>
      </c>
      <c r="F69" s="73">
        <f>E69/G69</f>
        <v>0.32698961937716264</v>
      </c>
      <c r="G69" s="71">
        <f>SUM(G63:G68)</f>
        <v>578</v>
      </c>
    </row>
    <row r="70" spans="1:7" ht="15">
      <c r="A70" s="8"/>
      <c r="B70" s="8"/>
      <c r="C70" s="19"/>
      <c r="D70" s="19"/>
      <c r="E70" s="19"/>
      <c r="F70" s="19"/>
      <c r="G70" s="19"/>
    </row>
    <row r="71" spans="1:7" ht="15">
      <c r="A71" s="9">
        <v>1997</v>
      </c>
      <c r="B71" s="9"/>
      <c r="C71" s="19"/>
      <c r="D71" s="19"/>
      <c r="E71" s="19"/>
      <c r="F71" s="19"/>
      <c r="G71" s="19"/>
    </row>
    <row r="72" spans="1:7" ht="15">
      <c r="A72" s="7" t="s">
        <v>295</v>
      </c>
      <c r="B72" s="7" t="s">
        <v>296</v>
      </c>
      <c r="C72" s="38">
        <f>IF(ISNA(VLOOKUP(B72,Table4Data!$B:$G,2,FALSE)),0,VLOOKUP(B72,Table4Data!$B:$G,2,FALSE))</f>
        <v>39</v>
      </c>
      <c r="D72" s="41">
        <f>IF(ISNA(VLOOKUP(B72,Table4Data!$B:$G,3,FALSE)),"-",VLOOKUP(B72,Table4Data!$B:$G,3,FALSE)/100)</f>
        <v>0.52</v>
      </c>
      <c r="E72" s="38">
        <f>IF(ISNA(VLOOKUP(B72,Table4Data!$B:$G,4,FALSE)),0,VLOOKUP(B72,Table4Data!$B:$G,4,FALSE))</f>
        <v>36</v>
      </c>
      <c r="F72" s="41">
        <f>IF(ISNA(VLOOKUP(B72,Table4Data!$B:$G,5,FALSE)),"-",VLOOKUP(B72,Table4Data!$B:$G,5,FALSE)/100)</f>
        <v>0.48</v>
      </c>
      <c r="G72" s="38">
        <f>IF(ISNA(VLOOKUP(B72,Table4Data!$B:$G,6,FALSE)),0,VLOOKUP(B72,Table4Data!$B:$G,6,FALSE))</f>
        <v>75</v>
      </c>
    </row>
    <row r="73" spans="1:7" ht="15">
      <c r="A73" s="7" t="s">
        <v>297</v>
      </c>
      <c r="B73" s="7" t="s">
        <v>298</v>
      </c>
      <c r="C73" s="38">
        <f>IF(ISNA(VLOOKUP(B73,Table4Data!$B:$G,2,FALSE)),0,VLOOKUP(B73,Table4Data!$B:$G,2,FALSE))</f>
        <v>47</v>
      </c>
      <c r="D73" s="41">
        <f>IF(ISNA(VLOOKUP(B73,Table4Data!$B:$G,3,FALSE)),"-",VLOOKUP(B73,Table4Data!$B:$G,3,FALSE)/100)</f>
        <v>0.5280898876404494</v>
      </c>
      <c r="E73" s="38">
        <f>IF(ISNA(VLOOKUP(B73,Table4Data!$B:$G,4,FALSE)),0,VLOOKUP(B73,Table4Data!$B:$G,4,FALSE))</f>
        <v>42</v>
      </c>
      <c r="F73" s="41">
        <f>IF(ISNA(VLOOKUP(B73,Table4Data!$B:$G,5,FALSE)),"-",VLOOKUP(B73,Table4Data!$B:$G,5,FALSE)/100)</f>
        <v>0.4719101123595506</v>
      </c>
      <c r="G73" s="38">
        <f>IF(ISNA(VLOOKUP(B73,Table4Data!$B:$G,6,FALSE)),0,VLOOKUP(B73,Table4Data!$B:$G,6,FALSE))</f>
        <v>89</v>
      </c>
    </row>
    <row r="74" spans="1:7" ht="15">
      <c r="A74" s="7" t="s">
        <v>299</v>
      </c>
      <c r="B74" s="7" t="s">
        <v>300</v>
      </c>
      <c r="C74" s="38">
        <f>IF(ISNA(VLOOKUP(B74,Table4Data!$B:$G,2,FALSE)),0,VLOOKUP(B74,Table4Data!$B:$G,2,FALSE))</f>
        <v>112</v>
      </c>
      <c r="D74" s="41">
        <f>IF(ISNA(VLOOKUP(B74,Table4Data!$B:$G,3,FALSE)),"-",VLOOKUP(B74,Table4Data!$B:$G,3,FALSE)/100)</f>
        <v>0.5894736842105263</v>
      </c>
      <c r="E74" s="38">
        <f>IF(ISNA(VLOOKUP(B74,Table4Data!$B:$G,4,FALSE)),0,VLOOKUP(B74,Table4Data!$B:$G,4,FALSE))</f>
        <v>78</v>
      </c>
      <c r="F74" s="41">
        <f>IF(ISNA(VLOOKUP(B74,Table4Data!$B:$G,5,FALSE)),"-",VLOOKUP(B74,Table4Data!$B:$G,5,FALSE)/100)</f>
        <v>0.4105263157894737</v>
      </c>
      <c r="G74" s="38">
        <f>IF(ISNA(VLOOKUP(B74,Table4Data!$B:$G,6,FALSE)),0,VLOOKUP(B74,Table4Data!$B:$G,6,FALSE))</f>
        <v>190</v>
      </c>
    </row>
    <row r="75" spans="1:7" ht="15">
      <c r="A75" s="7" t="s">
        <v>301</v>
      </c>
      <c r="B75" s="7" t="s">
        <v>302</v>
      </c>
      <c r="C75" s="38">
        <f>IF(ISNA(VLOOKUP(B75,Table4Data!$B:$G,2,FALSE)),0,VLOOKUP(B75,Table4Data!$B:$G,2,FALSE))</f>
        <v>107</v>
      </c>
      <c r="D75" s="41">
        <f>IF(ISNA(VLOOKUP(B75,Table4Data!$B:$G,3,FALSE)),"-",VLOOKUP(B75,Table4Data!$B:$G,3,FALSE)/100)</f>
        <v>0.5431472081218274</v>
      </c>
      <c r="E75" s="38">
        <f>IF(ISNA(VLOOKUP(B75,Table4Data!$B:$G,4,FALSE)),0,VLOOKUP(B75,Table4Data!$B:$G,4,FALSE))</f>
        <v>90</v>
      </c>
      <c r="F75" s="41">
        <f>IF(ISNA(VLOOKUP(B75,Table4Data!$B:$G,5,FALSE)),"-",VLOOKUP(B75,Table4Data!$B:$G,5,FALSE)/100)</f>
        <v>0.45685279187817257</v>
      </c>
      <c r="G75" s="38">
        <f>IF(ISNA(VLOOKUP(B75,Table4Data!$B:$G,6,FALSE)),0,VLOOKUP(B75,Table4Data!$B:$G,6,FALSE))</f>
        <v>197</v>
      </c>
    </row>
    <row r="76" spans="1:7" ht="15">
      <c r="A76" s="7" t="s">
        <v>305</v>
      </c>
      <c r="B76" s="7" t="s">
        <v>306</v>
      </c>
      <c r="C76" s="72">
        <f>IF(ISNA(VLOOKUP(B76,Table4Data!$B:$G,2,FALSE)),0,VLOOKUP(B76,Table4Data!$B:$G,2,FALSE))</f>
        <v>13</v>
      </c>
      <c r="D76" s="74">
        <f>IF(ISNA(VLOOKUP(B76,Table4Data!$B:$G,3,FALSE)),"-",VLOOKUP(B76,Table4Data!$B:$G,3,FALSE)/100)</f>
        <v>0.7647058823529411</v>
      </c>
      <c r="E76" s="72">
        <f>IF(ISNA(VLOOKUP(B76,Table4Data!$B:$G,4,FALSE)),0,VLOOKUP(B76,Table4Data!$B:$G,4,FALSE))</f>
        <v>4</v>
      </c>
      <c r="F76" s="74">
        <f>IF(ISNA(VLOOKUP(B76,Table4Data!$B:$G,5,FALSE)),"-",VLOOKUP(B76,Table4Data!$B:$G,5,FALSE)/100)</f>
        <v>0.23529411764705885</v>
      </c>
      <c r="G76" s="72">
        <f>IF(ISNA(VLOOKUP(B76,Table4Data!$B:$G,6,FALSE)),0,VLOOKUP(B76,Table4Data!$B:$G,6,FALSE))</f>
        <v>17</v>
      </c>
    </row>
    <row r="77" spans="1:7" ht="15">
      <c r="A77" s="7"/>
      <c r="B77" s="7"/>
      <c r="C77" s="71">
        <f>SUM(C72:C76)</f>
        <v>318</v>
      </c>
      <c r="D77" s="73">
        <f>C77/G77</f>
        <v>0.5598591549295775</v>
      </c>
      <c r="E77" s="71">
        <f>SUM(E72:E76)</f>
        <v>250</v>
      </c>
      <c r="F77" s="73">
        <f>E77/G77</f>
        <v>0.44014084507042256</v>
      </c>
      <c r="G77" s="71">
        <f>SUM(G72:G76)</f>
        <v>568</v>
      </c>
    </row>
    <row r="78" spans="1:7" ht="15">
      <c r="A78" s="8"/>
      <c r="B78" s="8"/>
      <c r="C78" s="19"/>
      <c r="D78" s="19"/>
      <c r="E78" s="19"/>
      <c r="F78" s="19"/>
      <c r="G78" s="19"/>
    </row>
    <row r="79" spans="1:7" ht="15">
      <c r="A79" s="9">
        <v>1998</v>
      </c>
      <c r="B79" s="9"/>
      <c r="C79" s="19"/>
      <c r="D79" s="19"/>
      <c r="E79" s="19"/>
      <c r="F79" s="19"/>
      <c r="G79" s="19"/>
    </row>
    <row r="80" spans="1:7" ht="15">
      <c r="A80" s="7" t="s">
        <v>307</v>
      </c>
      <c r="B80" s="7" t="s">
        <v>308</v>
      </c>
      <c r="C80" s="38">
        <f>IF(ISNA(VLOOKUP(B80,Table4Data!$B:$G,2,FALSE)),0,VLOOKUP(B80,Table4Data!$B:$G,2,FALSE))</f>
        <v>85</v>
      </c>
      <c r="D80" s="41">
        <f>IF(ISNA(VLOOKUP(B80,Table4Data!$B:$G,3,FALSE)),"-",VLOOKUP(B80,Table4Data!$B:$G,3,FALSE)/100)</f>
        <v>0.5182926829268293</v>
      </c>
      <c r="E80" s="38">
        <f>IF(ISNA(VLOOKUP(B80,Table4Data!$B:$G,4,FALSE)),0,VLOOKUP(B80,Table4Data!$B:$G,4,FALSE))</f>
        <v>79</v>
      </c>
      <c r="F80" s="41">
        <f>IF(ISNA(VLOOKUP(B80,Table4Data!$B:$G,5,FALSE)),"-",VLOOKUP(B80,Table4Data!$B:$G,5,FALSE)/100)</f>
        <v>0.4817073170731707</v>
      </c>
      <c r="G80" s="38">
        <f>IF(ISNA(VLOOKUP(B80,Table4Data!$B:$G,6,FALSE)),0,VLOOKUP(B80,Table4Data!$B:$G,6,FALSE))</f>
        <v>164</v>
      </c>
    </row>
    <row r="81" spans="1:7" ht="15">
      <c r="A81" s="7" t="s">
        <v>309</v>
      </c>
      <c r="B81" s="7" t="s">
        <v>310</v>
      </c>
      <c r="C81" s="38">
        <f>IF(ISNA(VLOOKUP(B81,Table4Data!$B:$G,2,FALSE)),0,VLOOKUP(B81,Table4Data!$B:$G,2,FALSE))</f>
        <v>78</v>
      </c>
      <c r="D81" s="41">
        <f>IF(ISNA(VLOOKUP(B81,Table4Data!$B:$G,3,FALSE)),"-",VLOOKUP(B81,Table4Data!$B:$G,3,FALSE)/100)</f>
        <v>0.5234899328859061</v>
      </c>
      <c r="E81" s="38">
        <f>IF(ISNA(VLOOKUP(B81,Table4Data!$B:$G,4,FALSE)),0,VLOOKUP(B81,Table4Data!$B:$G,4,FALSE))</f>
        <v>71</v>
      </c>
      <c r="F81" s="41">
        <f>IF(ISNA(VLOOKUP(B81,Table4Data!$B:$G,5,FALSE)),"-",VLOOKUP(B81,Table4Data!$B:$G,5,FALSE)/100)</f>
        <v>0.47651006711409394</v>
      </c>
      <c r="G81" s="38">
        <f>IF(ISNA(VLOOKUP(B81,Table4Data!$B:$G,6,FALSE)),0,VLOOKUP(B81,Table4Data!$B:$G,6,FALSE))</f>
        <v>149</v>
      </c>
    </row>
    <row r="82" spans="1:7" ht="15">
      <c r="A82" s="7" t="s">
        <v>313</v>
      </c>
      <c r="B82" s="7" t="s">
        <v>314</v>
      </c>
      <c r="C82" s="38">
        <f>IF(ISNA(VLOOKUP(B82,Table4Data!$B:$G,2,FALSE)),0,VLOOKUP(B82,Table4Data!$B:$G,2,FALSE))</f>
        <v>11</v>
      </c>
      <c r="D82" s="41">
        <f>IF(ISNA(VLOOKUP(B82,Table4Data!$B:$G,3,FALSE)),"-",VLOOKUP(B82,Table4Data!$B:$G,3,FALSE)/100)</f>
        <v>0.6875</v>
      </c>
      <c r="E82" s="38">
        <f>IF(ISNA(VLOOKUP(B82,Table4Data!$B:$G,4,FALSE)),0,VLOOKUP(B82,Table4Data!$B:$G,4,FALSE))</f>
        <v>5</v>
      </c>
      <c r="F82" s="41">
        <f>IF(ISNA(VLOOKUP(B82,Table4Data!$B:$G,5,FALSE)),"-",VLOOKUP(B82,Table4Data!$B:$G,5,FALSE)/100)</f>
        <v>0.3125</v>
      </c>
      <c r="G82" s="38">
        <f>IF(ISNA(VLOOKUP(B82,Table4Data!$B:$G,6,FALSE)),0,VLOOKUP(B82,Table4Data!$B:$G,6,FALSE))</f>
        <v>16</v>
      </c>
    </row>
    <row r="83" spans="1:7" ht="15">
      <c r="A83" s="7" t="s">
        <v>315</v>
      </c>
      <c r="B83" s="7" t="s">
        <v>316</v>
      </c>
      <c r="C83" s="38">
        <f>IF(ISNA(VLOOKUP(B83,Table4Data!$B:$G,2,FALSE)),0,VLOOKUP(B83,Table4Data!$B:$G,2,FALSE))</f>
        <v>92</v>
      </c>
      <c r="D83" s="41">
        <f>IF(ISNA(VLOOKUP(B83,Table4Data!$B:$G,3,FALSE)),"-",VLOOKUP(B83,Table4Data!$B:$G,3,FALSE)/100)</f>
        <v>0.5082872928176796</v>
      </c>
      <c r="E83" s="38">
        <f>IF(ISNA(VLOOKUP(B83,Table4Data!$B:$G,4,FALSE)),0,VLOOKUP(B83,Table4Data!$B:$G,4,FALSE))</f>
        <v>89</v>
      </c>
      <c r="F83" s="41">
        <f>IF(ISNA(VLOOKUP(B83,Table4Data!$B:$G,5,FALSE)),"-",VLOOKUP(B83,Table4Data!$B:$G,5,FALSE)/100)</f>
        <v>0.49171270718232046</v>
      </c>
      <c r="G83" s="38">
        <f>IF(ISNA(VLOOKUP(B83,Table4Data!$B:$G,6,FALSE)),0,VLOOKUP(B83,Table4Data!$B:$G,6,FALSE))</f>
        <v>181</v>
      </c>
    </row>
    <row r="84" spans="1:7" ht="15">
      <c r="A84" s="7" t="s">
        <v>317</v>
      </c>
      <c r="B84" s="7" t="s">
        <v>318</v>
      </c>
      <c r="C84" s="38">
        <f>IF(ISNA(VLOOKUP(B84,Table4Data!$B:$G,2,FALSE)),0,VLOOKUP(B84,Table4Data!$B:$G,2,FALSE))</f>
        <v>0</v>
      </c>
      <c r="D84" s="41" t="str">
        <f>IF(ISNA(VLOOKUP(B84,Table4Data!$B:$G,3,FALSE)),"-",VLOOKUP(B84,Table4Data!$B:$G,3,FALSE)/100)</f>
        <v>-</v>
      </c>
      <c r="E84" s="38">
        <f>IF(ISNA(VLOOKUP(B84,Table4Data!$B:$G,4,FALSE)),0,VLOOKUP(B84,Table4Data!$B:$G,4,FALSE))</f>
        <v>0</v>
      </c>
      <c r="F84" s="41" t="str">
        <f>IF(ISNA(VLOOKUP(B84,Table4Data!$B:$G,5,FALSE)),"-",VLOOKUP(B84,Table4Data!$B:$G,5,FALSE)/100)</f>
        <v>-</v>
      </c>
      <c r="G84" s="38">
        <f>IF(ISNA(VLOOKUP(B84,Table4Data!$B:$G,6,FALSE)),0,VLOOKUP(B84,Table4Data!$B:$G,6,FALSE))</f>
        <v>0</v>
      </c>
    </row>
    <row r="85" spans="1:7" ht="15">
      <c r="A85" s="7" t="s">
        <v>319</v>
      </c>
      <c r="B85" s="7" t="s">
        <v>320</v>
      </c>
      <c r="C85" s="38">
        <f>IF(ISNA(VLOOKUP(B85,Table4Data!$B:$G,2,FALSE)),0,VLOOKUP(B85,Table4Data!$B:$G,2,FALSE))</f>
        <v>3</v>
      </c>
      <c r="D85" s="41">
        <f>IF(ISNA(VLOOKUP(B85,Table4Data!$B:$G,3,FALSE)),"-",VLOOKUP(B85,Table4Data!$B:$G,3,FALSE)/100)</f>
        <v>1</v>
      </c>
      <c r="E85" s="38">
        <f>IF(ISNA(VLOOKUP(B85,Table4Data!$B:$G,4,FALSE)),0,VLOOKUP(B85,Table4Data!$B:$G,4,FALSE))</f>
        <v>0</v>
      </c>
      <c r="F85" s="41">
        <f>IF(ISNA(VLOOKUP(B85,Table4Data!$B:$G,5,FALSE)),"-",VLOOKUP(B85,Table4Data!$B:$G,5,FALSE)/100)</f>
        <v>0</v>
      </c>
      <c r="G85" s="38">
        <f>IF(ISNA(VLOOKUP(B85,Table4Data!$B:$G,6,FALSE)),0,VLOOKUP(B85,Table4Data!$B:$G,6,FALSE))</f>
        <v>3</v>
      </c>
    </row>
    <row r="86" spans="1:7" ht="15">
      <c r="A86" s="7" t="s">
        <v>321</v>
      </c>
      <c r="B86" s="7" t="s">
        <v>322</v>
      </c>
      <c r="C86" s="38">
        <f>IF(ISNA(VLOOKUP(B86,Table4Data!$B:$G,2,FALSE)),0,VLOOKUP(B86,Table4Data!$B:$G,2,FALSE))</f>
        <v>2</v>
      </c>
      <c r="D86" s="41">
        <f>IF(ISNA(VLOOKUP(B86,Table4Data!$B:$G,3,FALSE)),"-",VLOOKUP(B86,Table4Data!$B:$G,3,FALSE)/100)</f>
        <v>0.5</v>
      </c>
      <c r="E86" s="38">
        <f>IF(ISNA(VLOOKUP(B86,Table4Data!$B:$G,4,FALSE)),0,VLOOKUP(B86,Table4Data!$B:$G,4,FALSE))</f>
        <v>2</v>
      </c>
      <c r="F86" s="41">
        <f>IF(ISNA(VLOOKUP(B86,Table4Data!$B:$G,5,FALSE)),"-",VLOOKUP(B86,Table4Data!$B:$G,5,FALSE)/100)</f>
        <v>0.5</v>
      </c>
      <c r="G86" s="38">
        <f>IF(ISNA(VLOOKUP(B86,Table4Data!$B:$G,6,FALSE)),0,VLOOKUP(B86,Table4Data!$B:$G,6,FALSE))</f>
        <v>4</v>
      </c>
    </row>
    <row r="87" spans="1:7" ht="15">
      <c r="A87" s="7" t="s">
        <v>323</v>
      </c>
      <c r="B87" s="7" t="s">
        <v>324</v>
      </c>
      <c r="C87" s="38">
        <f>IF(ISNA(VLOOKUP(B87,Table4Data!$B:$G,2,FALSE)),0,VLOOKUP(B87,Table4Data!$B:$G,2,FALSE))</f>
        <v>14</v>
      </c>
      <c r="D87" s="41">
        <f>IF(ISNA(VLOOKUP(B87,Table4Data!$B:$G,3,FALSE)),"-",VLOOKUP(B87,Table4Data!$B:$G,3,FALSE)/100)</f>
        <v>0.4</v>
      </c>
      <c r="E87" s="38">
        <f>IF(ISNA(VLOOKUP(B87,Table4Data!$B:$G,4,FALSE)),0,VLOOKUP(B87,Table4Data!$B:$G,4,FALSE))</f>
        <v>21</v>
      </c>
      <c r="F87" s="41">
        <f>IF(ISNA(VLOOKUP(B87,Table4Data!$B:$G,5,FALSE)),"-",VLOOKUP(B87,Table4Data!$B:$G,5,FALSE)/100)</f>
        <v>0.6</v>
      </c>
      <c r="G87" s="38">
        <f>IF(ISNA(VLOOKUP(B87,Table4Data!$B:$G,6,FALSE)),0,VLOOKUP(B87,Table4Data!$B:$G,6,FALSE))</f>
        <v>35</v>
      </c>
    </row>
    <row r="88" spans="1:7" ht="15">
      <c r="A88" s="7" t="s">
        <v>325</v>
      </c>
      <c r="B88" s="7" t="s">
        <v>326</v>
      </c>
      <c r="C88" s="72">
        <f>IF(ISNA(VLOOKUP(B88,Table4Data!$B:$G,2,FALSE)),0,VLOOKUP(B88,Table4Data!$B:$G,2,FALSE))</f>
        <v>7</v>
      </c>
      <c r="D88" s="74">
        <f>IF(ISNA(VLOOKUP(B88,Table4Data!$B:$G,3,FALSE)),"-",VLOOKUP(B88,Table4Data!$B:$G,3,FALSE)/100)</f>
        <v>0.38888888888888884</v>
      </c>
      <c r="E88" s="72">
        <f>IF(ISNA(VLOOKUP(B88,Table4Data!$B:$G,4,FALSE)),0,VLOOKUP(B88,Table4Data!$B:$G,4,FALSE))</f>
        <v>11</v>
      </c>
      <c r="F88" s="74">
        <f>IF(ISNA(VLOOKUP(B88,Table4Data!$B:$G,5,FALSE)),"-",VLOOKUP(B88,Table4Data!$B:$G,5,FALSE)/100)</f>
        <v>0.6111111111111112</v>
      </c>
      <c r="G88" s="72">
        <f>IF(ISNA(VLOOKUP(B88,Table4Data!$B:$G,6,FALSE)),0,VLOOKUP(B88,Table4Data!$B:$G,6,FALSE))</f>
        <v>18</v>
      </c>
    </row>
    <row r="89" spans="1:7" ht="15">
      <c r="A89" s="7"/>
      <c r="B89" s="7"/>
      <c r="C89" s="71">
        <f>SUM(C80:C88)</f>
        <v>292</v>
      </c>
      <c r="D89" s="73">
        <f>C89/G89</f>
        <v>0.512280701754386</v>
      </c>
      <c r="E89" s="71">
        <f>SUM(E80:E88)</f>
        <v>278</v>
      </c>
      <c r="F89" s="73">
        <f>E89/G89</f>
        <v>0.48771929824561405</v>
      </c>
      <c r="G89" s="71">
        <f>SUM(G80:G88)</f>
        <v>570</v>
      </c>
    </row>
    <row r="90" spans="1:7" ht="15">
      <c r="A90" s="8"/>
      <c r="B90" s="8"/>
      <c r="C90" s="19"/>
      <c r="D90" s="19"/>
      <c r="E90" s="19"/>
      <c r="F90" s="19"/>
      <c r="G90" s="19"/>
    </row>
    <row r="91" spans="1:7" ht="15">
      <c r="A91" s="9" t="s">
        <v>327</v>
      </c>
      <c r="B91" s="9"/>
      <c r="C91" s="19"/>
      <c r="D91" s="19"/>
      <c r="E91" s="19"/>
      <c r="F91" s="19"/>
      <c r="G91" s="19"/>
    </row>
    <row r="92" spans="1:7" ht="15">
      <c r="A92" s="7" t="s">
        <v>328</v>
      </c>
      <c r="B92" s="10" t="s">
        <v>329</v>
      </c>
      <c r="C92" s="38">
        <f>IF(ISNA(VLOOKUP(B92,Table4Data!$B:$G,2,FALSE)),0,VLOOKUP(B92,Table4Data!$B:$G,2,FALSE))</f>
        <v>47</v>
      </c>
      <c r="D92" s="41">
        <f>IF(ISNA(VLOOKUP(B92,Table4Data!$B:$G,3,FALSE)),"-",VLOOKUP(B92,Table4Data!$B:$G,3,FALSE)/100)</f>
        <v>0.5340909090909091</v>
      </c>
      <c r="E92" s="38">
        <f>IF(ISNA(VLOOKUP(B92,Table4Data!$B:$G,4,FALSE)),0,VLOOKUP(B92,Table4Data!$B:$G,4,FALSE))</f>
        <v>41</v>
      </c>
      <c r="F92" s="41">
        <f>IF(ISNA(VLOOKUP(B92,Table4Data!$B:$G,5,FALSE)),"-",VLOOKUP(B92,Table4Data!$B:$G,5,FALSE)/100)</f>
        <v>0.46590909090909094</v>
      </c>
      <c r="G92" s="38">
        <f>IF(ISNA(VLOOKUP(B92,Table4Data!$B:$G,6,FALSE)),0,VLOOKUP(B92,Table4Data!$B:$G,6,FALSE))</f>
        <v>88</v>
      </c>
    </row>
    <row r="93" spans="1:7" ht="15">
      <c r="A93" s="7" t="s">
        <v>330</v>
      </c>
      <c r="B93" s="10" t="s">
        <v>331</v>
      </c>
      <c r="C93" s="38">
        <f>IF(ISNA(VLOOKUP(B93,Table4Data!$B:$G,2,FALSE)),0,VLOOKUP(B93,Table4Data!$B:$G,2,FALSE))</f>
        <v>23</v>
      </c>
      <c r="D93" s="41">
        <f>IF(ISNA(VLOOKUP(B93,Table4Data!$B:$G,3,FALSE)),"-",VLOOKUP(B93,Table4Data!$B:$G,3,FALSE)/100)</f>
        <v>0.46938775510204084</v>
      </c>
      <c r="E93" s="38">
        <f>IF(ISNA(VLOOKUP(B93,Table4Data!$B:$G,4,FALSE)),0,VLOOKUP(B93,Table4Data!$B:$G,4,FALSE))</f>
        <v>26</v>
      </c>
      <c r="F93" s="41">
        <f>IF(ISNA(VLOOKUP(B93,Table4Data!$B:$G,5,FALSE)),"-",VLOOKUP(B93,Table4Data!$B:$G,5,FALSE)/100)</f>
        <v>0.5306122448979592</v>
      </c>
      <c r="G93" s="38">
        <f>IF(ISNA(VLOOKUP(B93,Table4Data!$B:$G,6,FALSE)),0,VLOOKUP(B93,Table4Data!$B:$G,6,FALSE))</f>
        <v>49</v>
      </c>
    </row>
    <row r="94" spans="1:7" ht="15">
      <c r="A94" s="7" t="s">
        <v>332</v>
      </c>
      <c r="B94" s="10" t="s">
        <v>333</v>
      </c>
      <c r="C94" s="38">
        <f>IF(ISNA(VLOOKUP(B94,Table4Data!$B:$G,2,FALSE)),0,VLOOKUP(B94,Table4Data!$B:$G,2,FALSE))</f>
        <v>60</v>
      </c>
      <c r="D94" s="41">
        <f>IF(ISNA(VLOOKUP(B94,Table4Data!$B:$G,3,FALSE)),"-",VLOOKUP(B94,Table4Data!$B:$G,3,FALSE)/100)</f>
        <v>0.4195804195804196</v>
      </c>
      <c r="E94" s="38">
        <f>IF(ISNA(VLOOKUP(B94,Table4Data!$B:$G,4,FALSE)),0,VLOOKUP(B94,Table4Data!$B:$G,4,FALSE))</f>
        <v>83</v>
      </c>
      <c r="F94" s="41">
        <f>IF(ISNA(VLOOKUP(B94,Table4Data!$B:$G,5,FALSE)),"-",VLOOKUP(B94,Table4Data!$B:$G,5,FALSE)/100)</f>
        <v>0.5804195804195804</v>
      </c>
      <c r="G94" s="38">
        <f>IF(ISNA(VLOOKUP(B94,Table4Data!$B:$G,6,FALSE)),0,VLOOKUP(B94,Table4Data!$B:$G,6,FALSE))</f>
        <v>143</v>
      </c>
    </row>
    <row r="95" spans="1:7" ht="15">
      <c r="A95" s="7" t="s">
        <v>334</v>
      </c>
      <c r="B95" s="10" t="s">
        <v>335</v>
      </c>
      <c r="C95" s="38">
        <f>IF(ISNA(VLOOKUP(B95,Table4Data!$B:$G,2,FALSE)),0,VLOOKUP(B95,Table4Data!$B:$G,2,FALSE))</f>
        <v>23</v>
      </c>
      <c r="D95" s="41">
        <f>IF(ISNA(VLOOKUP(B95,Table4Data!$B:$G,3,FALSE)),"-",VLOOKUP(B95,Table4Data!$B:$G,3,FALSE)/100)</f>
        <v>0.8518518518518519</v>
      </c>
      <c r="E95" s="38">
        <f>IF(ISNA(VLOOKUP(B95,Table4Data!$B:$G,4,FALSE)),0,VLOOKUP(B95,Table4Data!$B:$G,4,FALSE))</f>
        <v>4</v>
      </c>
      <c r="F95" s="41">
        <f>IF(ISNA(VLOOKUP(B95,Table4Data!$B:$G,5,FALSE)),"-",VLOOKUP(B95,Table4Data!$B:$G,5,FALSE)/100)</f>
        <v>0.14814814814814814</v>
      </c>
      <c r="G95" s="38">
        <f>IF(ISNA(VLOOKUP(B95,Table4Data!$B:$G,6,FALSE)),0,VLOOKUP(B95,Table4Data!$B:$G,6,FALSE))</f>
        <v>27</v>
      </c>
    </row>
    <row r="96" spans="1:7" ht="15">
      <c r="A96" s="7" t="s">
        <v>336</v>
      </c>
      <c r="B96" s="10" t="s">
        <v>337</v>
      </c>
      <c r="C96" s="38">
        <f>IF(ISNA(VLOOKUP(B96,Table4Data!$B:$G,2,FALSE)),0,VLOOKUP(B96,Table4Data!$B:$G,2,FALSE))</f>
        <v>2</v>
      </c>
      <c r="D96" s="41">
        <f>IF(ISNA(VLOOKUP(B96,Table4Data!$B:$G,3,FALSE)),"-",VLOOKUP(B96,Table4Data!$B:$G,3,FALSE)/100)</f>
        <v>1</v>
      </c>
      <c r="E96" s="38">
        <f>IF(ISNA(VLOOKUP(B96,Table4Data!$B:$G,4,FALSE)),0,VLOOKUP(B96,Table4Data!$B:$G,4,FALSE))</f>
        <v>0</v>
      </c>
      <c r="F96" s="41">
        <f>IF(ISNA(VLOOKUP(B96,Table4Data!$B:$G,5,FALSE)),"-",VLOOKUP(B96,Table4Data!$B:$G,5,FALSE)/100)</f>
        <v>0</v>
      </c>
      <c r="G96" s="38">
        <f>IF(ISNA(VLOOKUP(B96,Table4Data!$B:$G,6,FALSE)),0,VLOOKUP(B96,Table4Data!$B:$G,6,FALSE))</f>
        <v>2</v>
      </c>
    </row>
    <row r="97" spans="1:7" ht="15">
      <c r="A97" s="7" t="s">
        <v>338</v>
      </c>
      <c r="B97" s="10" t="s">
        <v>339</v>
      </c>
      <c r="C97" s="38">
        <f>IF(ISNA(VLOOKUP(B97,Table4Data!$A:$F,2,FALSE)),0,VLOOKUP(B97,Table4Data!$A:$F,2,FALSE))</f>
        <v>0</v>
      </c>
      <c r="D97" s="41" t="str">
        <f>IF(ISNA(VLOOKUP(B97,Table4Data!$A:$F,3,FALSE)),"-",VLOOKUP(B97,Table4Data!$A:$F,3,FALSE)/100)</f>
        <v>-</v>
      </c>
      <c r="E97" s="38">
        <f>IF(ISNA(VLOOKUP(B97,Table4Data!$A:$F,4,FALSE)),0,VLOOKUP(B97,Table4Data!$A:$F,4,FALSE))</f>
        <v>0</v>
      </c>
      <c r="F97" s="41" t="str">
        <f>IF(ISNA(VLOOKUP(B97,Table4Data!$A:$F,5,FALSE)),"-",VLOOKUP(B97,Table4Data!$A:$F,5,FALSE)/100)</f>
        <v>-</v>
      </c>
      <c r="G97" s="38">
        <f>IF(ISNA(VLOOKUP(B97,Table4Data!$A:$F,6,FALSE)),0,VLOOKUP(B97,Table4Data!$A:$F,6,FALSE))</f>
        <v>0</v>
      </c>
    </row>
    <row r="98" spans="1:7" ht="15">
      <c r="A98" s="7" t="s">
        <v>340</v>
      </c>
      <c r="B98" s="10" t="s">
        <v>341</v>
      </c>
      <c r="C98" s="38">
        <f>IF(ISNA(VLOOKUP(B98,Table4Data!$A:$F,2,FALSE)),0,VLOOKUP(B98,Table4Data!$A:$F,2,FALSE))</f>
        <v>0</v>
      </c>
      <c r="D98" s="41" t="str">
        <f>IF(ISNA(VLOOKUP(B98,Table4Data!$A:$F,3,FALSE)),"-",VLOOKUP(B98,Table4Data!$A:$F,3,FALSE)/100)</f>
        <v>-</v>
      </c>
      <c r="E98" s="38">
        <f>IF(ISNA(VLOOKUP(B98,Table4Data!$A:$F,4,FALSE)),0,VLOOKUP(B98,Table4Data!$A:$F,4,FALSE))</f>
        <v>0</v>
      </c>
      <c r="F98" s="41" t="str">
        <f>IF(ISNA(VLOOKUP(B98,Table4Data!$A:$F,5,FALSE)),"-",VLOOKUP(B98,Table4Data!$A:$F,5,FALSE)/100)</f>
        <v>-</v>
      </c>
      <c r="G98" s="38">
        <f>IF(ISNA(VLOOKUP(B98,Table4Data!$A:$F,6,FALSE)),0,VLOOKUP(B98,Table4Data!$A:$F,6,FALSE))</f>
        <v>0</v>
      </c>
    </row>
    <row r="99" spans="1:7" ht="15">
      <c r="A99" s="7" t="s">
        <v>342</v>
      </c>
      <c r="B99" s="10" t="s">
        <v>343</v>
      </c>
      <c r="C99" s="72">
        <f>IF(ISNA(VLOOKUP(B99,Table4Data!$A:$F,2,FALSE)),0,VLOOKUP(B99,Table4Data!$A:$F,2,FALSE))</f>
        <v>0</v>
      </c>
      <c r="D99" s="74" t="str">
        <f>IF(ISNA(VLOOKUP(B99,Table4Data!$A:$F,3,FALSE)),"-",VLOOKUP(B99,Table4Data!$A:$F,3,FALSE)/100)</f>
        <v>-</v>
      </c>
      <c r="E99" s="72">
        <f>IF(ISNA(VLOOKUP(B99,Table4Data!$A:$F,4,FALSE)),0,VLOOKUP(B99,Table4Data!$A:$F,4,FALSE))</f>
        <v>0</v>
      </c>
      <c r="F99" s="74" t="str">
        <f>IF(ISNA(VLOOKUP(B99,Table4Data!$A:$F,5,FALSE)),"-",VLOOKUP(B99,Table4Data!$A:$F,5,FALSE)/100)</f>
        <v>-</v>
      </c>
      <c r="G99" s="72">
        <f>IF(ISNA(VLOOKUP(B99,Table4Data!$A:$F,6,FALSE)),0,VLOOKUP(B99,Table4Data!$A:$F,6,FALSE))</f>
        <v>0</v>
      </c>
    </row>
    <row r="100" spans="1:7" ht="15">
      <c r="A100" s="7"/>
      <c r="B100" s="10"/>
      <c r="C100" s="71">
        <f>SUM(C92:C99)</f>
        <v>155</v>
      </c>
      <c r="D100" s="73">
        <f>C100/G100</f>
        <v>0.5016181229773463</v>
      </c>
      <c r="E100" s="71">
        <f>SUM(E92:E99)</f>
        <v>154</v>
      </c>
      <c r="F100" s="73">
        <f>E100/G100</f>
        <v>0.49838187702265374</v>
      </c>
      <c r="G100" s="71">
        <f>SUM(G92:G99)</f>
        <v>309</v>
      </c>
    </row>
    <row r="101" spans="1:7" ht="15">
      <c r="A101" s="8"/>
      <c r="B101" s="8"/>
      <c r="C101" s="19"/>
      <c r="D101" s="19"/>
      <c r="E101" s="19"/>
      <c r="F101" s="19"/>
      <c r="G101" s="19"/>
    </row>
    <row r="102" spans="1:7" ht="15">
      <c r="A102" s="9">
        <v>2004</v>
      </c>
      <c r="B102" s="9"/>
      <c r="C102" s="19"/>
      <c r="D102" s="19"/>
      <c r="E102" s="19"/>
      <c r="F102" s="19"/>
      <c r="G102" s="19"/>
    </row>
    <row r="103" spans="1:7" ht="15">
      <c r="A103" s="7" t="s">
        <v>344</v>
      </c>
      <c r="B103" s="7" t="s">
        <v>345</v>
      </c>
      <c r="C103" s="38">
        <f>IF(ISNA(VLOOKUP(B103,Table4Data!$B:$G,2,FALSE)),0,VLOOKUP(B103,Table4Data!$B:$G,2,FALSE))</f>
        <v>2</v>
      </c>
      <c r="D103" s="41">
        <f>IF(ISNA(VLOOKUP(B103,Table4Data!$B:$G,3,FALSE)),"-",VLOOKUP(B103,Table4Data!$B:$G,3,FALSE)/100)</f>
        <v>0.2222222222222222</v>
      </c>
      <c r="E103" s="38">
        <f>IF(ISNA(VLOOKUP(B103,Table4Data!$B:$G,4,FALSE)),0,VLOOKUP(B103,Table4Data!$B:$G,4,FALSE))</f>
        <v>7</v>
      </c>
      <c r="F103" s="41">
        <f>IF(ISNA(VLOOKUP(B103,Table4Data!$B:$G,5,FALSE)),"-",VLOOKUP(B103,Table4Data!$B:$G,5,FALSE)/100)</f>
        <v>0.7777777777777777</v>
      </c>
      <c r="G103" s="38">
        <f>IF(ISNA(VLOOKUP(B103,Table4Data!$B:$G,6,FALSE)),0,VLOOKUP(B103,Table4Data!$B:$G,6,FALSE))</f>
        <v>9</v>
      </c>
    </row>
    <row r="104" spans="1:7" ht="15">
      <c r="A104" s="7" t="s">
        <v>346</v>
      </c>
      <c r="B104" s="7" t="s">
        <v>347</v>
      </c>
      <c r="C104" s="72">
        <f>IF(ISNA(VLOOKUP(B104,Table4Data!$B:$G,2,FALSE)),0,VLOOKUP(B104,Table4Data!$B:$G,2,FALSE))</f>
        <v>29</v>
      </c>
      <c r="D104" s="74">
        <f>IF(ISNA(VLOOKUP(B104,Table4Data!$B:$G,3,FALSE)),"-",VLOOKUP(B104,Table4Data!$B:$G,3,FALSE)/100)</f>
        <v>0.5087719298245613</v>
      </c>
      <c r="E104" s="72">
        <f>IF(ISNA(VLOOKUP(B104,Table4Data!$B:$G,4,FALSE)),0,VLOOKUP(B104,Table4Data!$B:$G,4,FALSE))</f>
        <v>28</v>
      </c>
      <c r="F104" s="74">
        <f>IF(ISNA(VLOOKUP(B104,Table4Data!$B:$G,5,FALSE)),"-",VLOOKUP(B104,Table4Data!$B:$G,5,FALSE)/100)</f>
        <v>0.4912280701754386</v>
      </c>
      <c r="G104" s="72">
        <f>IF(ISNA(VLOOKUP(B104,Table4Data!$B:$G,6,FALSE)),0,VLOOKUP(B104,Table4Data!$B:$G,6,FALSE))</f>
        <v>57</v>
      </c>
    </row>
    <row r="105" spans="1:7" ht="15">
      <c r="A105" s="7"/>
      <c r="B105" s="7"/>
      <c r="C105" s="71">
        <f>SUM(C103:C104)</f>
        <v>31</v>
      </c>
      <c r="D105" s="73">
        <f>C105/G105</f>
        <v>0.4696969696969697</v>
      </c>
      <c r="E105" s="71">
        <f>SUM(E103:E104)</f>
        <v>35</v>
      </c>
      <c r="F105" s="73">
        <f>E105/G105</f>
        <v>0.5303030303030303</v>
      </c>
      <c r="G105" s="71">
        <f>SUM(G103:G104)</f>
        <v>66</v>
      </c>
    </row>
    <row r="107" spans="1:10" s="2" customFormat="1" ht="15">
      <c r="A107" s="75" t="s">
        <v>516</v>
      </c>
      <c r="C107" s="76">
        <f>C105+C100+C89+C77+C69+C60+C42+C35+C26</f>
        <v>22555</v>
      </c>
      <c r="D107" s="77">
        <f>C107/G107</f>
        <v>0.6212642886654731</v>
      </c>
      <c r="E107" s="76">
        <f>E105+E100+E89+E77+E69+E60+E42+E35+E26</f>
        <v>13750</v>
      </c>
      <c r="F107" s="77">
        <f>E107/G107</f>
        <v>0.37873571133452694</v>
      </c>
      <c r="G107" s="76">
        <f>G105+G100+G89+G77+G69+G60+G42+G35+G26</f>
        <v>36305</v>
      </c>
      <c r="H107" s="11"/>
      <c r="I107" s="11"/>
      <c r="J107" s="11"/>
    </row>
    <row r="109" ht="15">
      <c r="A109" s="90" t="str">
        <f>"* The number of transfers includes "&amp;TEXT(Sundry!C2,"###,###,##0")&amp;" permit foreclosures and "&amp;TEXT(Sundry!D2,"###,###,##0")&amp;" subsequent transfers of these permits.  In this table these are counted as cross-cohort transfers."</f>
        <v>* The number of transfers includes 342 permit foreclosures and 334 subsequent transfers of these permits.  In this table these are counted as cross-cohort transfers.</v>
      </c>
    </row>
  </sheetData>
  <sheetProtection/>
  <mergeCells count="3">
    <mergeCell ref="A3:A4"/>
    <mergeCell ref="C3:D3"/>
    <mergeCell ref="E3:F3"/>
  </mergeCells>
  <conditionalFormatting sqref="D1:D65536 F1:F6553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66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2011-05-13T00:16:32Z</dcterms:modified>
  <cp:category/>
  <cp:version/>
  <cp:contentType/>
  <cp:contentStatus/>
</cp:coreProperties>
</file>